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ofa\users$\users6\a1231286\Desktop\PDF's\"/>
    </mc:Choice>
  </mc:AlternateContent>
  <xr:revisionPtr revIDLastSave="0" documentId="8_{D7F81D48-327F-4BC5-9380-579CC9FE92E5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Eff Jul 23 - Continuing FT" sheetId="5" r:id="rId1"/>
    <sheet name="Eff Jul 23 - Casual" sheetId="6" r:id="rId2"/>
    <sheet name="Ref (9.5) eff Jul 21 - FT Con " sheetId="2" state="hidden" r:id="rId3"/>
    <sheet name="BE_Salary Plan" sheetId="3" state="hidden" r:id="rId4"/>
    <sheet name="BE_Lookup" sheetId="4" state="hidden" r:id="rId5"/>
  </sheets>
  <definedNames>
    <definedName name="AnnualLeaveLoadingCap">'Eff Jul 23 - Continuing FT'!$E$6</definedName>
    <definedName name="Clear_Cas_Salary">'Eff Jul 23 - Casual'!$F$37</definedName>
    <definedName name="Clear_Cont_FT_Salary">'Eff Jul 23 - Continuing FT'!$E$21:$E$29</definedName>
    <definedName name="Clear_Loading">'Eff Jul 23 - Continuing FT'!$E$44</definedName>
    <definedName name="DropDown_Cat">BE_Lookup!$H$4:$H$8</definedName>
    <definedName name="List_ACA">BE_Lookup!$K$4:$K$8</definedName>
    <definedName name="List_AgreedSal">BE_Lookup!$P$4</definedName>
    <definedName name="List_ELT">BE_Lookup!$N$4</definedName>
    <definedName name="List_HEO">BE_Lookup!$L$4:$L$14</definedName>
    <definedName name="List_Snr">BE_Lookup!$M$4:$M$6</definedName>
    <definedName name="List_STF">BE_Lookup!$O$4:$O$5</definedName>
    <definedName name="Lookup_SalaryPlan">'BE_Salary Plan'!$B$5:$Q$126</definedName>
    <definedName name="Lookup_SalaryPlanCode">BE_Lookup!$E$3:$F$11</definedName>
    <definedName name="Lookup_SalaryYr">'BE_Salary Plan'!$G$1:$Q$3</definedName>
    <definedName name="Lookup_SuperRate">BE_Lookup!$E$54:$H$65</definedName>
    <definedName name="LU_DS">BE_Lookup!$K$38:$K$41</definedName>
    <definedName name="LU_ELT">BE_Lookup!$H$38:$H$49</definedName>
    <definedName name="LU_Lvl1">BE_Lookup!$H$29:$H$35</definedName>
    <definedName name="LU_LVL10">BE_Lookup!$R$29:$R$31</definedName>
    <definedName name="LU_lvl2">BE_Lookup!$I$29:$I$35</definedName>
    <definedName name="LU_lvl3">BE_Lookup!$J$29:$J$36</definedName>
    <definedName name="LU_LVL4">BE_Lookup!$K$29:$K$32</definedName>
    <definedName name="LU_LVL5">BE_Lookup!$L$29:$L$32</definedName>
    <definedName name="LU_LVL56">BE_Lookup!$M$29:$M$35</definedName>
    <definedName name="LU_LVL6">BE_Lookup!$N$29:$N$32</definedName>
    <definedName name="LU_LVL7">BE_Lookup!$O$29:$O$33</definedName>
    <definedName name="LU_LVL8">BE_Lookup!$P$29:$P$33</definedName>
    <definedName name="LU_LVL9">BE_Lookup!$Q$29:$Q$31</definedName>
    <definedName name="LU_LvlA">BE_Lookup!$H$19:$H$26</definedName>
    <definedName name="LU_LvlB">BE_Lookup!$I$19:$I$24</definedName>
    <definedName name="LU_LvlC">BE_Lookup!$J$19:$J$24</definedName>
    <definedName name="LU_LvlD">BE_Lookup!$K$19:$K$22</definedName>
    <definedName name="LU_LvlE">BE_Lookup!$L$19</definedName>
    <definedName name="LU_STFA">BE_Lookup!$I$38:$I$43</definedName>
    <definedName name="LU_STFB">BE_Lookup!$J$38:$J$43</definedName>
    <definedName name="_xlnm.Print_Area" localSheetId="1">'Eff Jul 23 - Casual'!$A$7:$H$60</definedName>
    <definedName name="_xlnm.Print_Area" localSheetId="0">'Eff Jul 23 - Continuing FT'!$A$7:$H$65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6" i="3" l="1"/>
  <c r="C43" i="5" l="1"/>
  <c r="E39" i="5" l="1"/>
  <c r="B37" i="5" l="1"/>
  <c r="B37" i="6"/>
  <c r="G1" i="6" l="1"/>
  <c r="E47" i="6" l="1"/>
  <c r="F41" i="6"/>
  <c r="F40" i="6"/>
  <c r="C40" i="6"/>
  <c r="F39" i="6"/>
  <c r="F43" i="6" s="1"/>
  <c r="E2" i="6"/>
  <c r="E3" i="6" s="1"/>
  <c r="E1" i="6"/>
  <c r="K126" i="3"/>
  <c r="J126" i="3"/>
  <c r="I126" i="3"/>
  <c r="H126" i="3"/>
  <c r="G126" i="3"/>
  <c r="E52" i="5"/>
  <c r="F44" i="5"/>
  <c r="E2" i="5"/>
  <c r="E4" i="5" s="1"/>
  <c r="F47" i="6" l="1"/>
  <c r="F53" i="6" s="1"/>
  <c r="E4" i="6"/>
  <c r="E3" i="5"/>
  <c r="D23" i="2" l="1"/>
  <c r="D10" i="2"/>
  <c r="D31" i="2" s="1"/>
  <c r="F50" i="6" l="1"/>
  <c r="F56" i="6" s="1"/>
  <c r="F58" i="6" s="1"/>
  <c r="B126" i="3"/>
  <c r="F37" i="5" s="1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F43" i="5" l="1"/>
  <c r="E6" i="6"/>
  <c r="E6" i="5"/>
  <c r="F39" i="5" s="1"/>
  <c r="J17" i="4"/>
  <c r="F46" i="5" l="1"/>
  <c r="D14" i="2"/>
  <c r="D36" i="2" s="1"/>
  <c r="D44" i="2" s="1"/>
  <c r="C40" i="5"/>
  <c r="F6" i="6"/>
  <c r="F6" i="5"/>
  <c r="F52" i="5" l="1"/>
  <c r="F58" i="5" s="1"/>
  <c r="F49" i="5"/>
  <c r="D48" i="2"/>
  <c r="D7" i="2"/>
  <c r="F55" i="5" l="1"/>
  <c r="F61" i="5" s="1"/>
  <c r="F63" i="5" s="1"/>
  <c r="D53" i="2"/>
</calcChain>
</file>

<file path=xl/sharedStrings.xml><?xml version="1.0" encoding="utf-8"?>
<sst xmlns="http://schemas.openxmlformats.org/spreadsheetml/2006/main" count="633" uniqueCount="255">
  <si>
    <t>THE UNIVERSITY OF ADELAIDE</t>
  </si>
  <si>
    <t xml:space="preserve">The following table can be used for grant applications and general salary cost estimates for both </t>
  </si>
  <si>
    <t>&lt; 2 Year</t>
  </si>
  <si>
    <t>&gt; 2 Year</t>
  </si>
  <si>
    <t>Casuals</t>
  </si>
  <si>
    <t xml:space="preserve">(A) </t>
  </si>
  <si>
    <t xml:space="preserve">(B) </t>
  </si>
  <si>
    <t>Annual Leave Loading</t>
  </si>
  <si>
    <t xml:space="preserve">(C) </t>
  </si>
  <si>
    <t>Estimated Annual Salary</t>
  </si>
  <si>
    <t>Oncosts</t>
  </si>
  <si>
    <t>Long Service Leave Provision</t>
  </si>
  <si>
    <t>[calculated on 'Estimated Annual Salary' less 'Annual Leave Loading']</t>
  </si>
  <si>
    <t>Superannuation</t>
  </si>
  <si>
    <t xml:space="preserve">(E) </t>
  </si>
  <si>
    <t>Payroll Tax</t>
  </si>
  <si>
    <t xml:space="preserve">(F) </t>
  </si>
  <si>
    <t>[calculated on 'Estimated Annual Salary' plus 'Superannuation']</t>
  </si>
  <si>
    <t>Workers Compensation</t>
  </si>
  <si>
    <t xml:space="preserve">(G) </t>
  </si>
  <si>
    <t>Total Oncosts</t>
  </si>
  <si>
    <t>TOTAL ESTIMATED SALARY &amp; ONCOSTS</t>
  </si>
  <si>
    <t>Quick Total Cost calculation : Where no additional Loadings, use :</t>
  </si>
  <si>
    <t>SALARY COST CALCULATION REFERENCE SHEET</t>
  </si>
  <si>
    <t>SALARY</t>
  </si>
  <si>
    <t>Obtained from "Salary Scales" schedule provide by Human Resources on web.</t>
  </si>
  <si>
    <t xml:space="preserve">It does not include annual leave loading. </t>
  </si>
  <si>
    <t>Gross salary including EB</t>
  </si>
  <si>
    <t>b</t>
  </si>
  <si>
    <t>48 weeks</t>
  </si>
  <si>
    <t>h</t>
  </si>
  <si>
    <t>calculated by b x 48/52</t>
  </si>
  <si>
    <t>Calculated by 48/52 x Gross excl A/L/L, incl EB.</t>
  </si>
  <si>
    <t>Annual leave loading is paid to all staff in first pay in December.</t>
  </si>
  <si>
    <t>ONCOSTS</t>
  </si>
  <si>
    <t>Annual Leave Provision</t>
  </si>
  <si>
    <t>All salary oncosts are charged to the Provision account when leave is taken; therefore the annual leave provision must include oncosts.</t>
  </si>
  <si>
    <t>AL andLSL oncosts are already loaded and so superannuation, payroll tax &amp; workers' compensation oncosts for 4 weeks is averaged at 1.5% due to different super rates.</t>
  </si>
  <si>
    <t>(max = [[17%+4.95%+0.5%]/52]X4=1.8%; min [[9.5%+4.95%+0.5%]/52]X4=1.2%)</t>
  </si>
  <si>
    <t xml:space="preserve">Approx. 20 people are non UniSuper scheme which is 12% + 3% = 15%; but for budget purposes will be calculated at 17% </t>
  </si>
  <si>
    <t>Payable to and based on State Government payroll tax rate of 4.95%.</t>
  </si>
  <si>
    <t>Payable on all staff including operating budgets which were previously exempt.</t>
  </si>
  <si>
    <t>0.5% is an internal calculation to provide appropriate funding to UniSure Pty Ltd ( a University self-insurance company)</t>
  </si>
  <si>
    <t>TOTAL COST</t>
  </si>
  <si>
    <t>Glossary of Terms</t>
  </si>
  <si>
    <t>AL: annual leave</t>
  </si>
  <si>
    <t>EB: refers to an increase approximating that established by the University's Enterprise Agreement</t>
  </si>
  <si>
    <t>LSL: long service leave</t>
  </si>
  <si>
    <t>A/L/L: annual leave loading</t>
  </si>
  <si>
    <t>SGC: Superannuation Guarantee Charge</t>
  </si>
  <si>
    <t>calculated by a x 1.02</t>
  </si>
  <si>
    <t>Long service leave is 6.5 week days per year = 6.5/261 = 2.49%</t>
  </si>
  <si>
    <t>however the oncost will be charged on the 48 weeks and so increase to 2.49 X 52/48 = 2.70%</t>
  </si>
  <si>
    <t>As an example, this assumes an increase of 2% on current salary scales.</t>
  </si>
  <si>
    <t xml:space="preserve">Superannuation is also applicable to leave loading (SGR 2009/2) </t>
  </si>
  <si>
    <t>(D)</t>
  </si>
  <si>
    <t>Annual leave is 4 weeks per year = 7.69% of 52 weeks[4/52]; A/L/L is 1.3% for budget purposes; a total of 8.99%.</t>
  </si>
  <si>
    <t>However the oncost will be calculated on the 48 weeks and so increase to 8.99 X 52/48  = 9.7392%</t>
  </si>
  <si>
    <t>but since annual leave is usually taken after it accumulates, at a higher salary, an 'inflation' factor of 2% increases the provision to 9.93% [9.7392 x 1.02].</t>
  </si>
  <si>
    <t>calculated by h x 11.43%</t>
  </si>
  <si>
    <t>FTE</t>
  </si>
  <si>
    <t>Conca</t>
  </si>
  <si>
    <t xml:space="preserve">Salary Grade Code </t>
  </si>
  <si>
    <t xml:space="preserve">Salary Admin Plan Code </t>
  </si>
  <si>
    <t xml:space="preserve">Salary Grade </t>
  </si>
  <si>
    <t>STEP</t>
  </si>
  <si>
    <t xml:space="preserve">Administrative  Increase
on 31 March 2017
(3% increase)
</t>
  </si>
  <si>
    <t xml:space="preserve">Administrative  Increase
on 31 March 2018
($2000 flat rate increase)
</t>
  </si>
  <si>
    <t xml:space="preserve">Administrative  Increase
on 31 March 2019
(1.5% increase)
</t>
  </si>
  <si>
    <t xml:space="preserve">Administrative  Increase
on 31 March 2020
(1.5% increase + $400 Flat Rate)
</t>
  </si>
  <si>
    <t xml:space="preserve">Administrative  Increase
on 31 March 2021
(1.5% increase)
</t>
  </si>
  <si>
    <t>251</t>
  </si>
  <si>
    <t>ACA</t>
  </si>
  <si>
    <t>LEVEL A</t>
  </si>
  <si>
    <t>241</t>
  </si>
  <si>
    <t>LEVEL B</t>
  </si>
  <si>
    <t>231</t>
  </si>
  <si>
    <t>LEVEL C</t>
  </si>
  <si>
    <t>221</t>
  </si>
  <si>
    <t>LEVEL D</t>
  </si>
  <si>
    <t>211</t>
  </si>
  <si>
    <t>LEVEL E</t>
  </si>
  <si>
    <t>Clinical</t>
  </si>
  <si>
    <t>Para-Clinical</t>
  </si>
  <si>
    <t>Pre-Clinical</t>
  </si>
  <si>
    <t>Dental</t>
  </si>
  <si>
    <t>010</t>
  </si>
  <si>
    <t>HEO</t>
  </si>
  <si>
    <t>HEO Level 1</t>
  </si>
  <si>
    <t>020</t>
  </si>
  <si>
    <t>HEO Level 2</t>
  </si>
  <si>
    <t>030</t>
  </si>
  <si>
    <t>HEO Level 3</t>
  </si>
  <si>
    <t>040</t>
  </si>
  <si>
    <t>HEO Level 4</t>
  </si>
  <si>
    <t>050</t>
  </si>
  <si>
    <t>HEO Level 5</t>
  </si>
  <si>
    <t>054</t>
  </si>
  <si>
    <t>HEO Level 5/6</t>
  </si>
  <si>
    <t>060</t>
  </si>
  <si>
    <t>HEO Level 6</t>
  </si>
  <si>
    <t>070</t>
  </si>
  <si>
    <t>HEO Level 7</t>
  </si>
  <si>
    <t>080</t>
  </si>
  <si>
    <t>HEO Level 8</t>
  </si>
  <si>
    <t>HEO_HEO Level 9_1</t>
  </si>
  <si>
    <t>091</t>
  </si>
  <si>
    <t>HEO Level 9</t>
  </si>
  <si>
    <t>100</t>
  </si>
  <si>
    <t>HEO Level 10</t>
  </si>
  <si>
    <t>SNR</t>
  </si>
  <si>
    <t>Senior Manager 1</t>
  </si>
  <si>
    <t>200</t>
  </si>
  <si>
    <t>Senior Manager 2</t>
  </si>
  <si>
    <t>300</t>
  </si>
  <si>
    <t>Senior Manager 3</t>
  </si>
  <si>
    <t>102</t>
  </si>
  <si>
    <t>ELT</t>
  </si>
  <si>
    <t>English Language Teachers A-C</t>
  </si>
  <si>
    <t>Director of Studies</t>
  </si>
  <si>
    <t>ELT Allowance 1</t>
  </si>
  <si>
    <t>ELT Allowance 2</t>
  </si>
  <si>
    <t>ELT Allowance 3</t>
  </si>
  <si>
    <t>STF</t>
  </si>
  <si>
    <t>Scholarly Teaching Fellow A</t>
  </si>
  <si>
    <t>Scholarly Teaching Fellow B</t>
  </si>
  <si>
    <t>Agreed Salary</t>
  </si>
  <si>
    <t>Academic</t>
  </si>
  <si>
    <t>Scholarly Teaching Fellow</t>
  </si>
  <si>
    <t>Senior Manager</t>
  </si>
  <si>
    <t>English Language Teacher</t>
  </si>
  <si>
    <t>Salary Plan Code</t>
  </si>
  <si>
    <t>Professional</t>
  </si>
  <si>
    <t>Salary Admin Plan Code</t>
  </si>
  <si>
    <t>Academic / Professional/ Agreed Salary</t>
  </si>
  <si>
    <t>Sub-type</t>
  </si>
  <si>
    <t>Classification</t>
  </si>
  <si>
    <t>Salary Step</t>
  </si>
  <si>
    <t>Clinical Loading:</t>
  </si>
  <si>
    <t>ELT Allowance:</t>
  </si>
  <si>
    <t xml:space="preserve">Agreed Salary Amount: </t>
  </si>
  <si>
    <t>Year</t>
  </si>
  <si>
    <t>Salary Plan Year</t>
  </si>
  <si>
    <t>Column to look up the Salary Plan Year</t>
  </si>
  <si>
    <t>Category</t>
  </si>
  <si>
    <t>List_ACA</t>
  </si>
  <si>
    <t>List_HEO</t>
  </si>
  <si>
    <t>List_Snr</t>
  </si>
  <si>
    <t>List_ELT</t>
  </si>
  <si>
    <t>List_STF</t>
  </si>
  <si>
    <t>List_AgreedSal</t>
  </si>
  <si>
    <t>Classification Lookup</t>
  </si>
  <si>
    <t>Sub-type Lookup</t>
  </si>
  <si>
    <t>Category Lookup</t>
  </si>
  <si>
    <t>Salary Step Lookup</t>
  </si>
  <si>
    <t>ACA_LEVEL A</t>
  </si>
  <si>
    <t>ACA_LEVEL B</t>
  </si>
  <si>
    <t>ACA_LEVEL C</t>
  </si>
  <si>
    <t>ACA_LEVEL D</t>
  </si>
  <si>
    <t>ACA_LEVEL E</t>
  </si>
  <si>
    <t>HEO_HEO Level 1</t>
  </si>
  <si>
    <t>HEO_HEO Level 2</t>
  </si>
  <si>
    <t>HEO_HEO Level 3</t>
  </si>
  <si>
    <t>HEO_HEO Level 4</t>
  </si>
  <si>
    <t>HEO_HEO Level 5</t>
  </si>
  <si>
    <t>HEO_HEO Level 5/6</t>
  </si>
  <si>
    <t>HEO_HEO Level 6</t>
  </si>
  <si>
    <t>HEO_HEO Level 7</t>
  </si>
  <si>
    <t>HEO_HEO Level 8</t>
  </si>
  <si>
    <t>HEO_HEO Level 9</t>
  </si>
  <si>
    <t>HEO_HEO Level 10</t>
  </si>
  <si>
    <t>SNR_Senior Manager 1</t>
  </si>
  <si>
    <t>SNR_Senior Manager 2</t>
  </si>
  <si>
    <t>SNR_Senior Manager 3</t>
  </si>
  <si>
    <t>ELT_English Language Teachers A-C</t>
  </si>
  <si>
    <t>STF_Scholarly Teaching Fellow A</t>
  </si>
  <si>
    <t>STF_Scholarly Teaching Fellow B</t>
  </si>
  <si>
    <t>Agreed Salary_</t>
  </si>
  <si>
    <t>LU_LVLA</t>
  </si>
  <si>
    <t>LU_LVLB</t>
  </si>
  <si>
    <t>LU_LVLC</t>
  </si>
  <si>
    <t>LU_LVLD</t>
  </si>
  <si>
    <t>LU_LVLE</t>
  </si>
  <si>
    <t>LU_Snr</t>
  </si>
  <si>
    <t>LU_ELT</t>
  </si>
  <si>
    <t>LU_DS</t>
  </si>
  <si>
    <t>Drop Down Lookup</t>
  </si>
  <si>
    <t>LU_LVL1</t>
  </si>
  <si>
    <t>LU_LVL2</t>
  </si>
  <si>
    <t>LU_LVL3</t>
  </si>
  <si>
    <t>LU_LVL4</t>
  </si>
  <si>
    <t>LU_LVL5</t>
  </si>
  <si>
    <t>LU_LVL56</t>
  </si>
  <si>
    <t>LU_LVL6</t>
  </si>
  <si>
    <t>LU_LVL7</t>
  </si>
  <si>
    <t>LU_LVL8</t>
  </si>
  <si>
    <t>LU_LVL9</t>
  </si>
  <si>
    <t>LU_LVL10</t>
  </si>
  <si>
    <t>Salary Plan Lookup</t>
  </si>
  <si>
    <t>Version</t>
  </si>
  <si>
    <t>Super Lookup</t>
  </si>
  <si>
    <r>
      <t>To use</t>
    </r>
    <r>
      <rPr>
        <sz val="10"/>
        <color theme="0"/>
        <rFont val="Arial"/>
        <family val="2"/>
      </rPr>
      <t xml:space="preserve"> this table, please select / enter annual salary / percentages / fixed value in the red box</t>
    </r>
  </si>
  <si>
    <t>Lookup_SalaryPlan</t>
  </si>
  <si>
    <t>Annual Leave Loading Cap</t>
  </si>
  <si>
    <t>LU_STFA</t>
  </si>
  <si>
    <t>LU_STFB</t>
  </si>
  <si>
    <t>Director of Studies__</t>
  </si>
  <si>
    <t>((A) + (B)) * (1 + 18.61%)</t>
  </si>
  <si>
    <t>((A) + (B)) * (1 + 15.42%)</t>
  </si>
  <si>
    <t>(A)</t>
  </si>
  <si>
    <t>(B)</t>
  </si>
  <si>
    <r>
      <t xml:space="preserve">calculated by </t>
    </r>
    <r>
      <rPr>
        <b/>
        <i/>
        <sz val="8"/>
        <color theme="9"/>
        <rFont val="Arial"/>
        <family val="2"/>
      </rPr>
      <t>a+</t>
    </r>
    <r>
      <rPr>
        <b/>
        <i/>
        <sz val="8"/>
        <rFont val="Arial"/>
        <family val="2"/>
      </rPr>
      <t xml:space="preserve">b+c+d+e+f+g </t>
    </r>
  </si>
  <si>
    <t>((A) + (B)) * (1 + 15.945%)</t>
  </si>
  <si>
    <t xml:space="preserve">Other Loadings </t>
  </si>
  <si>
    <t>Loadings</t>
  </si>
  <si>
    <t>[for example, attraction / retention and responsibility loadings]</t>
  </si>
  <si>
    <t xml:space="preserve">Loadings </t>
  </si>
  <si>
    <t>(F)</t>
  </si>
  <si>
    <t>(G)</t>
  </si>
  <si>
    <t xml:space="preserve">Continuing / </t>
  </si>
  <si>
    <t>Fixed Term Contract</t>
  </si>
  <si>
    <t>[FTE should be &gt;0 and &lt;1]</t>
  </si>
  <si>
    <r>
      <t xml:space="preserve">[example below based on permanent staff appointment </t>
    </r>
    <r>
      <rPr>
        <i/>
        <sz val="8"/>
        <color theme="9"/>
        <rFont val="Arial"/>
        <family val="2"/>
      </rPr>
      <t>at HEO10 step 1, FTE = 1 in 2021.</t>
    </r>
    <r>
      <rPr>
        <i/>
        <sz val="8"/>
        <rFont val="Arial"/>
        <family val="2"/>
      </rPr>
      <t>]</t>
    </r>
  </si>
  <si>
    <t>Casual loading in lieu of paid leave</t>
  </si>
  <si>
    <t>[calculated on 'Estimated Annual Salary' ]</t>
  </si>
  <si>
    <t>calculated by (A) x 3.25%</t>
  </si>
  <si>
    <t>Since long service leave is usually taken well after it accumulates, at a higher salary, an 'inflation' factor of 30% increases the provision to 3.25% [2.49% x 1.3].</t>
  </si>
  <si>
    <t>calculated by (Sum of (A), (B), ( C ) and superannuation)x 4.95%</t>
  </si>
  <si>
    <t>calculated by (Sum of (A), (B), ( C ))x  0.5%</t>
  </si>
  <si>
    <t>As per EA 4.1.4.1 A staff member will be entitled to payment of an annual leave loading of
17.5% of four (4) weeks of their salary that will be capped at the Higher
Education Officer Level 9 step 1 except where shift and penalty rates would
be greater.</t>
  </si>
  <si>
    <t>1.35% is calculated based on 17%/52*4</t>
  </si>
  <si>
    <t>[calculated on 'Estimated Annual Salary' less non-superannuable discretionary loading']</t>
  </si>
  <si>
    <t>Non-superannuable Discretionary Loadings</t>
  </si>
  <si>
    <t>Non Superannuable loadings - Any discretionary loadings (eg. attraction / retention and responsibility loadings) when a staff receives full super at 17%</t>
  </si>
  <si>
    <t>calculated by (Sum of (A), (B), ( C ) excluding non-superannuable loadings)x 17%</t>
  </si>
  <si>
    <r>
      <t xml:space="preserve">Agreed Salary Amount :
   </t>
    </r>
    <r>
      <rPr>
        <sz val="8"/>
        <color theme="0"/>
        <rFont val="Arial"/>
        <family val="2"/>
      </rPr>
      <t>Note:</t>
    </r>
    <r>
      <rPr>
        <b/>
        <sz val="10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>Future increases for agreed salary are not taken into consideration in the calculation.</t>
    </r>
  </si>
  <si>
    <t>Annual salary</t>
  </si>
  <si>
    <r>
      <t>Payable on on all gross salaries</t>
    </r>
    <r>
      <rPr>
        <sz val="8"/>
        <color theme="9"/>
        <rFont val="Arial"/>
        <family val="2"/>
      </rPr>
      <t xml:space="preserve"> plus Annual Leave Loading (</t>
    </r>
    <r>
      <rPr>
        <sz val="8"/>
        <rFont val="Arial"/>
        <family val="2"/>
      </rPr>
      <t>A/L/L) + loadings/overtime + superannuation.</t>
    </r>
  </si>
  <si>
    <r>
      <t xml:space="preserve">Payable on on all gross salaries </t>
    </r>
    <r>
      <rPr>
        <sz val="8"/>
        <color theme="9"/>
        <rFont val="Arial"/>
        <family val="2"/>
      </rPr>
      <t>plus Annual Leave Loading (</t>
    </r>
    <r>
      <rPr>
        <sz val="8"/>
        <rFont val="Arial"/>
        <family val="2"/>
      </rPr>
      <t>A/L/L) + loadings/overtime.</t>
    </r>
  </si>
  <si>
    <t>Superannuable loadings:- Academic Loadings, English Language Teacher (ELT) Allowances</t>
  </si>
  <si>
    <r>
      <t xml:space="preserve">calculated by </t>
    </r>
    <r>
      <rPr>
        <b/>
        <i/>
        <sz val="8"/>
        <color theme="9"/>
        <rFont val="Arial"/>
        <family val="2"/>
      </rPr>
      <t>(A)</t>
    </r>
    <r>
      <rPr>
        <b/>
        <i/>
        <sz val="8"/>
        <rFont val="Arial"/>
        <family val="2"/>
      </rPr>
      <t xml:space="preserve"> x 1.35% </t>
    </r>
    <r>
      <rPr>
        <b/>
        <i/>
        <sz val="8"/>
        <color theme="9"/>
        <rFont val="Arial"/>
        <family val="2"/>
      </rPr>
      <t>capped at HEO9 step 1 of the respective year</t>
    </r>
  </si>
  <si>
    <t>SALARY ONCOST CALCULATION SCHEDULE for CASUAL</t>
  </si>
  <si>
    <t>SALARY ONCOST CALCULATION SCHEDULE for Continuing and Fixed Term</t>
  </si>
  <si>
    <r>
      <t xml:space="preserve">Academic and Professional staff
</t>
    </r>
    <r>
      <rPr>
        <b/>
        <sz val="9"/>
        <rFont val="Arial"/>
        <family val="2"/>
      </rPr>
      <t>(with superannuation rate increases to 10.5% for casual with effect from July 2022):</t>
    </r>
  </si>
  <si>
    <t>((A) + (B)) * (1 + 27.0462%)</t>
  </si>
  <si>
    <r>
      <rPr>
        <sz val="8"/>
        <color theme="9"/>
        <rFont val="Arial"/>
        <family val="2"/>
      </rPr>
      <t xml:space="preserve">For 2022, </t>
    </r>
    <r>
      <rPr>
        <sz val="8"/>
        <rFont val="Arial"/>
        <family val="2"/>
      </rPr>
      <t xml:space="preserve">17% for continuing and fixed term staff and </t>
    </r>
    <r>
      <rPr>
        <sz val="8"/>
        <color theme="9"/>
        <rFont val="Arial"/>
        <family val="2"/>
      </rPr>
      <t>Superannuation Guarantee Levy</t>
    </r>
    <r>
      <rPr>
        <sz val="8"/>
        <rFont val="Arial"/>
        <family val="2"/>
      </rPr>
      <t xml:space="preserve"> (SGL)10.5% for casual staff.</t>
    </r>
  </si>
  <si>
    <t>The budget exercise assumes all State Super and Scheme A staff are charged at either the 10.5% or the 17%</t>
  </si>
  <si>
    <t>SGL is 10.5%.</t>
  </si>
  <si>
    <t>With effect from July 2022, superannuation will be 17% for both continuing and fixed term contract; 10.5% for casual staff.</t>
  </si>
  <si>
    <t>Administrative Increase effective 2 July 2022
 (2% increase)</t>
  </si>
  <si>
    <t>Administrative Increase Effective 1 July 2023                      (4.2% Increase)</t>
  </si>
  <si>
    <r>
      <t xml:space="preserve">Academic and Professional staff 
</t>
    </r>
    <r>
      <rPr>
        <b/>
        <sz val="9"/>
        <rFont val="Arial"/>
        <family val="2"/>
      </rPr>
      <t>(with salary rate effective 1 July 2023 and superannuation rate increases to 17% for Fixed Term Contract with effect from July 2022):</t>
    </r>
  </si>
  <si>
    <t>With effect from July 2023</t>
  </si>
  <si>
    <t>[calculated on 'Estimated Annual Salary plus Superannuation'']</t>
  </si>
  <si>
    <t>[calculated on 'Estimated Annual Salary plus superannuation']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</si>
</sst>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_-* #,##0_-;\-* #,##0_-;_-* &quot;-&quot;??_-;_-@_-"/>
    <numFmt numFmtId="167" formatCode="_-* #,##0.0_-;\-* #,##0.0_-;_-* &quot;-&quot;?_-;_-@_-"/>
    <numFmt numFmtId="168" formatCode="_-&quot;$&quot;* #,##0.0_-;\-&quot;$&quot;* #,##0.0_-;_-&quot;$&quot;* &quot;-&quot;?_-;_-@_-"/>
    <numFmt numFmtId="169" formatCode="0.000000%"/>
    <numFmt numFmtId="170" formatCode="0.0000000%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Palatino"/>
      <family val="1"/>
    </font>
    <font>
      <b/>
      <sz val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sz val="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8"/>
      <name val="Arial"/>
      <family val="2"/>
    </font>
    <font>
      <i/>
      <sz val="10"/>
      <color theme="9"/>
      <name val="Arial"/>
      <family val="2"/>
    </font>
    <font>
      <b/>
      <sz val="12"/>
      <color theme="8" tint="-0.24997711111789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8"/>
      <name val="Arial"/>
      <family val="2"/>
    </font>
    <font>
      <b/>
      <u/>
      <sz val="10"/>
      <color theme="0"/>
      <name val="Arial"/>
      <family val="2"/>
    </font>
    <font>
      <i/>
      <sz val="10"/>
      <color rgb="FFC00000"/>
      <name val="Arial"/>
      <family val="2"/>
    </font>
    <font>
      <b/>
      <i/>
      <sz val="8"/>
      <color theme="9"/>
      <name val="Arial"/>
      <family val="2"/>
    </font>
    <font>
      <sz val="8"/>
      <color theme="9"/>
      <name val="Arial"/>
      <family val="2"/>
    </font>
    <font>
      <i/>
      <sz val="8"/>
      <color theme="9"/>
      <name val="Arial"/>
      <family val="2"/>
    </font>
    <font>
      <strike/>
      <sz val="10"/>
      <color rgb="FFFF0000"/>
      <name val="Arial"/>
      <family val="2"/>
    </font>
    <font>
      <sz val="10"/>
      <name val="Calibri"/>
      <family val="2"/>
    </font>
    <font>
      <sz val="10"/>
      <color theme="9"/>
      <name val="Arial"/>
      <family val="2"/>
    </font>
    <font>
      <b/>
      <i/>
      <sz val="10"/>
      <color theme="9"/>
      <name val="Arial"/>
      <family val="2"/>
    </font>
    <font>
      <b/>
      <sz val="9"/>
      <name val="Arial"/>
      <family val="2"/>
    </font>
    <font>
      <strike/>
      <sz val="10"/>
      <color theme="9"/>
      <name val="Arial"/>
      <family val="2"/>
    </font>
    <font>
      <b/>
      <i/>
      <strike/>
      <sz val="10"/>
      <color theme="9"/>
      <name val="Arial"/>
      <family val="2"/>
    </font>
    <font>
      <b/>
      <i/>
      <strike/>
      <sz val="8"/>
      <color theme="9"/>
      <name val="Arial"/>
      <family val="2"/>
    </font>
    <font>
      <strike/>
      <sz val="8"/>
      <color theme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C00000"/>
      </left>
      <right/>
      <top style="thin">
        <color rgb="FFC00000"/>
      </top>
      <bottom style="medium">
        <color indexed="64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thin">
        <color rgb="FFC00000"/>
      </left>
      <right/>
      <top style="medium">
        <color indexed="64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 style="thin">
        <color rgb="FFC00000"/>
      </top>
      <bottom style="medium">
        <color indexed="64"/>
      </bottom>
      <diagonal/>
    </border>
    <border>
      <left/>
      <right style="thin">
        <color rgb="FFC00000"/>
      </right>
      <top style="medium">
        <color indexed="64"/>
      </top>
      <bottom/>
      <diagonal/>
    </border>
    <border>
      <left/>
      <right style="double">
        <color auto="1"/>
      </right>
      <top style="thin">
        <color rgb="FFC00000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rgb="FFC00000"/>
      </left>
      <right/>
      <top/>
      <bottom style="thin">
        <color theme="0" tint="-0.24994659260841701"/>
      </bottom>
      <diagonal/>
    </border>
    <border>
      <left/>
      <right style="double">
        <color auto="1"/>
      </right>
      <top/>
      <bottom style="thin">
        <color theme="0" tint="-0.24994659260841701"/>
      </bottom>
      <diagonal/>
    </border>
    <border>
      <left/>
      <right style="thin">
        <color rgb="FFC00000"/>
      </right>
      <top/>
      <bottom style="thin">
        <color theme="0" tint="-0.24994659260841701"/>
      </bottom>
      <diagonal/>
    </border>
    <border>
      <left style="thin">
        <color rgb="FFC00000"/>
      </left>
      <right/>
      <top style="thin">
        <color theme="0" tint="-0.24994659260841701"/>
      </top>
      <bottom style="thin">
        <color rgb="FFC00000"/>
      </bottom>
      <diagonal/>
    </border>
    <border>
      <left/>
      <right/>
      <top style="thin">
        <color theme="0" tint="-0.24994659260841701"/>
      </top>
      <bottom style="thin">
        <color rgb="FFC00000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rgb="FFC00000"/>
      </bottom>
      <diagonal/>
    </border>
    <border>
      <left/>
      <right style="thin">
        <color rgb="FFC00000"/>
      </right>
      <top style="thin">
        <color theme="0" tint="-0.24994659260841701"/>
      </top>
      <bottom style="thin">
        <color rgb="FFC0000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0" fillId="0" borderId="8" xfId="0" applyBorder="1"/>
    <xf numFmtId="0" fontId="6" fillId="0" borderId="7" xfId="0" applyFont="1" applyBorder="1"/>
    <xf numFmtId="0" fontId="0" fillId="0" borderId="7" xfId="0" applyBorder="1"/>
    <xf numFmtId="0" fontId="7" fillId="0" borderId="0" xfId="0" applyFont="1" applyAlignment="1">
      <alignment horizontal="center"/>
    </xf>
    <xf numFmtId="0" fontId="7" fillId="0" borderId="7" xfId="0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44" fontId="2" fillId="0" borderId="0" xfId="2" applyBorder="1" applyProtection="1"/>
    <xf numFmtId="165" fontId="2" fillId="0" borderId="0" xfId="3" applyNumberFormat="1" applyFill="1" applyBorder="1" applyProtection="1">
      <protection locked="0"/>
    </xf>
    <xf numFmtId="166" fontId="2" fillId="0" borderId="0" xfId="1" applyNumberFormat="1" applyBorder="1" applyProtection="1"/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165" fontId="2" fillId="0" borderId="0" xfId="3" applyNumberFormat="1" applyFill="1" applyBorder="1" applyProtection="1"/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/>
    </xf>
    <xf numFmtId="166" fontId="0" fillId="0" borderId="0" xfId="1" applyNumberFormat="1" applyFont="1" applyBorder="1" applyProtection="1"/>
    <xf numFmtId="167" fontId="0" fillId="0" borderId="0" xfId="0" applyNumberFormat="1"/>
    <xf numFmtId="0" fontId="2" fillId="0" borderId="0" xfId="0" applyFont="1"/>
    <xf numFmtId="0" fontId="9" fillId="0" borderId="0" xfId="0" applyFont="1" applyAlignment="1">
      <alignment wrapText="1"/>
    </xf>
    <xf numFmtId="10" fontId="0" fillId="0" borderId="0" xfId="0" applyNumberFormat="1"/>
    <xf numFmtId="0" fontId="9" fillId="0" borderId="0" xfId="0" applyFont="1" applyAlignment="1">
      <alignment vertical="top" wrapText="1"/>
    </xf>
    <xf numFmtId="165" fontId="0" fillId="0" borderId="0" xfId="0" applyNumberFormat="1"/>
    <xf numFmtId="0" fontId="0" fillId="0" borderId="0" xfId="0" applyAlignment="1">
      <alignment horizontal="right"/>
    </xf>
    <xf numFmtId="165" fontId="2" fillId="0" borderId="0" xfId="3" applyNumberFormat="1" applyBorder="1" applyProtection="1"/>
    <xf numFmtId="164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4" xfId="0" applyBorder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/>
    <xf numFmtId="0" fontId="11" fillId="0" borderId="0" xfId="0" applyFont="1"/>
    <xf numFmtId="0" fontId="4" fillId="0" borderId="15" xfId="0" applyFont="1" applyBorder="1"/>
    <xf numFmtId="0" fontId="16" fillId="0" borderId="0" xfId="0" applyFont="1" applyAlignment="1">
      <alignment horizontal="center"/>
    </xf>
    <xf numFmtId="0" fontId="5" fillId="0" borderId="0" xfId="0" applyFont="1"/>
    <xf numFmtId="164" fontId="2" fillId="0" borderId="0" xfId="2" applyNumberFormat="1"/>
    <xf numFmtId="0" fontId="17" fillId="0" borderId="0" xfId="0" applyFont="1"/>
    <xf numFmtId="0" fontId="12" fillId="0" borderId="5" xfId="0" applyFont="1" applyBorder="1"/>
    <xf numFmtId="16" fontId="11" fillId="0" borderId="0" xfId="0" applyNumberFormat="1" applyFont="1" applyAlignment="1">
      <alignment horizontal="left"/>
    </xf>
    <xf numFmtId="16" fontId="18" fillId="0" borderId="0" xfId="0" applyNumberFormat="1" applyFont="1" applyAlignment="1">
      <alignment horizontal="left"/>
    </xf>
    <xf numFmtId="0" fontId="19" fillId="0" borderId="0" xfId="0" applyFont="1"/>
    <xf numFmtId="44" fontId="0" fillId="0" borderId="0" xfId="0" applyNumberFormat="1"/>
    <xf numFmtId="0" fontId="21" fillId="0" borderId="0" xfId="0" applyFont="1"/>
    <xf numFmtId="9" fontId="21" fillId="0" borderId="0" xfId="0" applyNumberFormat="1" applyFont="1"/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center"/>
    </xf>
    <xf numFmtId="0" fontId="22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166" fontId="20" fillId="0" borderId="0" xfId="1" applyNumberFormat="1" applyFont="1"/>
    <xf numFmtId="0" fontId="20" fillId="0" borderId="2" xfId="0" applyFont="1" applyBorder="1"/>
    <xf numFmtId="166" fontId="20" fillId="0" borderId="2" xfId="1" applyNumberFormat="1" applyFont="1" applyBorder="1"/>
    <xf numFmtId="166" fontId="20" fillId="3" borderId="2" xfId="1" applyNumberFormat="1" applyFont="1" applyFill="1" applyBorder="1"/>
    <xf numFmtId="166" fontId="20" fillId="0" borderId="0" xfId="1" applyNumberFormat="1" applyFont="1" applyBorder="1"/>
    <xf numFmtId="166" fontId="20" fillId="3" borderId="0" xfId="1" applyNumberFormat="1" applyFont="1" applyFill="1" applyBorder="1"/>
    <xf numFmtId="0" fontId="0" fillId="0" borderId="0" xfId="0" applyAlignment="1">
      <alignment horizontal="center"/>
    </xf>
    <xf numFmtId="0" fontId="20" fillId="0" borderId="0" xfId="1" applyNumberFormat="1" applyFont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20" fillId="0" borderId="18" xfId="4" applyFont="1" applyBorder="1" applyAlignment="1">
      <alignment horizontal="left"/>
    </xf>
    <xf numFmtId="0" fontId="20" fillId="0" borderId="19" xfId="4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0" fillId="4" borderId="0" xfId="0" applyFill="1"/>
    <xf numFmtId="0" fontId="0" fillId="5" borderId="0" xfId="0" applyFill="1"/>
    <xf numFmtId="0" fontId="0" fillId="6" borderId="22" xfId="0" applyFill="1" applyBorder="1"/>
    <xf numFmtId="0" fontId="0" fillId="0" borderId="23" xfId="0" applyBorder="1"/>
    <xf numFmtId="0" fontId="0" fillId="0" borderId="22" xfId="0" applyBorder="1"/>
    <xf numFmtId="0" fontId="0" fillId="3" borderId="0" xfId="0" applyFill="1"/>
    <xf numFmtId="0" fontId="0" fillId="3" borderId="19" xfId="0" applyFill="1" applyBorder="1"/>
    <xf numFmtId="0" fontId="0" fillId="3" borderId="18" xfId="0" applyFill="1" applyBorder="1"/>
    <xf numFmtId="0" fontId="0" fillId="0" borderId="24" xfId="0" applyBorder="1"/>
    <xf numFmtId="0" fontId="0" fillId="0" borderId="5" xfId="0" applyBorder="1"/>
    <xf numFmtId="0" fontId="2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 applyAlignment="1">
      <alignment horizontal="center"/>
    </xf>
    <xf numFmtId="0" fontId="20" fillId="0" borderId="11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20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7" fillId="5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5" fillId="0" borderId="7" xfId="0" applyFont="1" applyBorder="1" applyAlignment="1">
      <alignment horizontal="left"/>
    </xf>
    <xf numFmtId="0" fontId="0" fillId="0" borderId="0" xfId="0" applyAlignment="1">
      <alignment wrapText="1"/>
    </xf>
    <xf numFmtId="0" fontId="26" fillId="0" borderId="0" xfId="0" applyFont="1"/>
    <xf numFmtId="14" fontId="26" fillId="0" borderId="0" xfId="0" applyNumberFormat="1" applyFont="1"/>
    <xf numFmtId="0" fontId="7" fillId="2" borderId="7" xfId="0" applyFont="1" applyFill="1" applyBorder="1"/>
    <xf numFmtId="0" fontId="0" fillId="2" borderId="0" xfId="0" applyFill="1"/>
    <xf numFmtId="0" fontId="7" fillId="2" borderId="0" xfId="0" applyFont="1" applyFill="1" applyAlignment="1">
      <alignment horizontal="center"/>
    </xf>
    <xf numFmtId="0" fontId="0" fillId="2" borderId="8" xfId="0" applyFill="1" applyBorder="1"/>
    <xf numFmtId="164" fontId="2" fillId="0" borderId="0" xfId="2" applyNumberForma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19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0" fillId="0" borderId="5" xfId="3" applyNumberFormat="1" applyFont="1" applyBorder="1"/>
    <xf numFmtId="165" fontId="0" fillId="0" borderId="5" xfId="3" applyNumberFormat="1" applyFont="1" applyBorder="1" applyAlignment="1">
      <alignment horizontal="center"/>
    </xf>
    <xf numFmtId="165" fontId="0" fillId="0" borderId="21" xfId="3" applyNumberFormat="1" applyFont="1" applyBorder="1" applyAlignment="1">
      <alignment horizontal="center"/>
    </xf>
    <xf numFmtId="0" fontId="11" fillId="0" borderId="0" xfId="0" applyFont="1" applyAlignment="1">
      <alignment horizontal="left" vertical="top" indent="1"/>
    </xf>
    <xf numFmtId="43" fontId="2" fillId="2" borderId="9" xfId="1" applyFill="1" applyBorder="1" applyProtection="1"/>
    <xf numFmtId="168" fontId="2" fillId="0" borderId="0" xfId="3" applyNumberFormat="1" applyFill="1" applyBorder="1" applyProtection="1">
      <protection locked="0"/>
    </xf>
    <xf numFmtId="166" fontId="2" fillId="2" borderId="0" xfId="1" applyNumberFormat="1" applyFill="1" applyBorder="1" applyProtection="1"/>
    <xf numFmtId="43" fontId="2" fillId="0" borderId="0" xfId="1" applyFill="1" applyBorder="1" applyProtection="1"/>
    <xf numFmtId="43" fontId="2" fillId="0" borderId="0" xfId="1" applyFill="1" applyBorder="1" applyProtection="1">
      <protection locked="0"/>
    </xf>
    <xf numFmtId="43" fontId="0" fillId="0" borderId="0" xfId="1" applyFont="1" applyBorder="1" applyProtection="1"/>
    <xf numFmtId="0" fontId="24" fillId="7" borderId="0" xfId="0" applyFont="1" applyFill="1" applyAlignment="1">
      <alignment horizontal="center" wrapText="1"/>
    </xf>
    <xf numFmtId="0" fontId="24" fillId="7" borderId="8" xfId="0" applyFont="1" applyFill="1" applyBorder="1" applyAlignment="1">
      <alignment horizontal="center" wrapText="1"/>
    </xf>
    <xf numFmtId="0" fontId="27" fillId="7" borderId="7" xfId="0" applyFont="1" applyFill="1" applyBorder="1"/>
    <xf numFmtId="0" fontId="0" fillId="8" borderId="7" xfId="0" applyFill="1" applyBorder="1"/>
    <xf numFmtId="0" fontId="0" fillId="8" borderId="0" xfId="0" applyFill="1"/>
    <xf numFmtId="0" fontId="7" fillId="8" borderId="0" xfId="0" applyFont="1" applyFill="1" applyAlignment="1">
      <alignment horizontal="center"/>
    </xf>
    <xf numFmtId="0" fontId="0" fillId="8" borderId="8" xfId="0" applyFill="1" applyBorder="1"/>
    <xf numFmtId="0" fontId="0" fillId="8" borderId="36" xfId="0" applyFill="1" applyBorder="1"/>
    <xf numFmtId="0" fontId="7" fillId="8" borderId="36" xfId="0" applyFont="1" applyFill="1" applyBorder="1" applyAlignment="1">
      <alignment horizontal="center"/>
    </xf>
    <xf numFmtId="0" fontId="0" fillId="8" borderId="35" xfId="0" applyFill="1" applyBorder="1"/>
    <xf numFmtId="0" fontId="12" fillId="5" borderId="7" xfId="0" applyFont="1" applyFill="1" applyBorder="1"/>
    <xf numFmtId="0" fontId="7" fillId="5" borderId="0" xfId="0" applyFont="1" applyFill="1"/>
    <xf numFmtId="165" fontId="12" fillId="5" borderId="0" xfId="0" quotePrefix="1" applyNumberFormat="1" applyFont="1" applyFill="1" applyAlignment="1">
      <alignment horizontal="right"/>
    </xf>
    <xf numFmtId="0" fontId="22" fillId="0" borderId="37" xfId="0" applyFont="1" applyBorder="1" applyAlignment="1">
      <alignment horizontal="left" vertical="top" wrapText="1"/>
    </xf>
    <xf numFmtId="0" fontId="20" fillId="2" borderId="38" xfId="0" applyFont="1" applyFill="1" applyBorder="1" applyAlignment="1">
      <alignment horizontal="left" vertical="top" wrapText="1"/>
    </xf>
    <xf numFmtId="166" fontId="20" fillId="2" borderId="38" xfId="1" applyNumberFormat="1" applyFont="1" applyFill="1" applyBorder="1" applyAlignment="1">
      <alignment horizontal="left" vertical="top" wrapText="1"/>
    </xf>
    <xf numFmtId="166" fontId="20" fillId="3" borderId="38" xfId="1" applyNumberFormat="1" applyFont="1" applyFill="1" applyBorder="1" applyAlignment="1">
      <alignment horizontal="left" vertical="top" wrapText="1"/>
    </xf>
    <xf numFmtId="0" fontId="22" fillId="0" borderId="39" xfId="0" applyFont="1" applyBorder="1"/>
    <xf numFmtId="0" fontId="22" fillId="0" borderId="41" xfId="0" applyFont="1" applyBorder="1"/>
    <xf numFmtId="0" fontId="28" fillId="0" borderId="0" xfId="0" applyFont="1" applyAlignment="1">
      <alignment horizontal="left"/>
    </xf>
    <xf numFmtId="166" fontId="20" fillId="2" borderId="42" xfId="1" applyNumberFormat="1" applyFont="1" applyFill="1" applyBorder="1" applyAlignment="1">
      <alignment horizontal="left" vertical="top" wrapText="1"/>
    </xf>
    <xf numFmtId="166" fontId="20" fillId="0" borderId="43" xfId="1" applyNumberFormat="1" applyFont="1" applyBorder="1"/>
    <xf numFmtId="166" fontId="20" fillId="0" borderId="40" xfId="1" applyNumberFormat="1" applyFont="1" applyBorder="1"/>
    <xf numFmtId="0" fontId="20" fillId="2" borderId="44" xfId="0" applyFont="1" applyFill="1" applyBorder="1" applyAlignment="1">
      <alignment horizontal="center" vertical="top" wrapText="1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2" fillId="0" borderId="47" xfId="0" applyFont="1" applyBorder="1"/>
    <xf numFmtId="0" fontId="20" fillId="0" borderId="36" xfId="0" applyFont="1" applyBorder="1"/>
    <xf numFmtId="0" fontId="20" fillId="0" borderId="48" xfId="0" applyFont="1" applyBorder="1" applyAlignment="1">
      <alignment horizontal="center"/>
    </xf>
    <xf numFmtId="166" fontId="20" fillId="0" borderId="36" xfId="1" applyNumberFormat="1" applyFont="1" applyBorder="1"/>
    <xf numFmtId="166" fontId="20" fillId="3" borderId="36" xfId="1" applyNumberFormat="1" applyFont="1" applyFill="1" applyBorder="1"/>
    <xf numFmtId="166" fontId="20" fillId="0" borderId="49" xfId="1" applyNumberFormat="1" applyFont="1" applyBorder="1"/>
    <xf numFmtId="0" fontId="22" fillId="0" borderId="50" xfId="0" applyFont="1" applyBorder="1"/>
    <xf numFmtId="0" fontId="20" fillId="0" borderId="51" xfId="0" applyFont="1" applyBorder="1"/>
    <xf numFmtId="0" fontId="20" fillId="0" borderId="52" xfId="0" applyFont="1" applyBorder="1" applyAlignment="1">
      <alignment horizontal="center"/>
    </xf>
    <xf numFmtId="166" fontId="20" fillId="0" borderId="51" xfId="1" applyNumberFormat="1" applyFont="1" applyBorder="1"/>
    <xf numFmtId="166" fontId="20" fillId="3" borderId="51" xfId="1" applyNumberFormat="1" applyFont="1" applyFill="1" applyBorder="1"/>
    <xf numFmtId="166" fontId="20" fillId="0" borderId="53" xfId="1" applyNumberFormat="1" applyFont="1" applyBorder="1"/>
    <xf numFmtId="43" fontId="26" fillId="0" borderId="0" xfId="1" applyFont="1" applyProtection="1"/>
    <xf numFmtId="0" fontId="6" fillId="0" borderId="0" xfId="0" applyFont="1" applyAlignment="1">
      <alignment horizontal="left" vertical="top"/>
    </xf>
    <xf numFmtId="165" fontId="2" fillId="0" borderId="0" xfId="0" applyNumberFormat="1" applyFont="1"/>
    <xf numFmtId="43" fontId="21" fillId="0" borderId="0" xfId="0" applyNumberFormat="1" applyFont="1"/>
    <xf numFmtId="43" fontId="0" fillId="0" borderId="0" xfId="0" applyNumberFormat="1"/>
    <xf numFmtId="43" fontId="2" fillId="0" borderId="0" xfId="1" applyBorder="1" applyProtection="1"/>
    <xf numFmtId="43" fontId="2" fillId="0" borderId="9" xfId="1" applyBorder="1" applyProtection="1"/>
    <xf numFmtId="43" fontId="0" fillId="0" borderId="10" xfId="0" applyNumberFormat="1" applyBorder="1"/>
    <xf numFmtId="43" fontId="0" fillId="2" borderId="11" xfId="0" applyNumberFormat="1" applyFill="1" applyBorder="1"/>
    <xf numFmtId="0" fontId="12" fillId="0" borderId="7" xfId="0" applyFont="1" applyBorder="1"/>
    <xf numFmtId="0" fontId="7" fillId="0" borderId="0" xfId="0" applyFont="1"/>
    <xf numFmtId="165" fontId="12" fillId="0" borderId="0" xfId="0" quotePrefix="1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2" fillId="0" borderId="0" xfId="0" applyFont="1"/>
    <xf numFmtId="10" fontId="0" fillId="0" borderId="0" xfId="3" applyNumberFormat="1" applyFont="1" applyProtection="1"/>
    <xf numFmtId="10" fontId="21" fillId="0" borderId="0" xfId="3" applyNumberFormat="1" applyFont="1" applyProtection="1"/>
    <xf numFmtId="0" fontId="30" fillId="0" borderId="0" xfId="0" applyFont="1"/>
    <xf numFmtId="10" fontId="0" fillId="0" borderId="0" xfId="0" applyNumberFormat="1" applyProtection="1">
      <protection locked="0"/>
    </xf>
    <xf numFmtId="44" fontId="2" fillId="0" borderId="0" xfId="2" applyFill="1"/>
    <xf numFmtId="44" fontId="2" fillId="0" borderId="0" xfId="2"/>
    <xf numFmtId="44" fontId="0" fillId="0" borderId="11" xfId="0" applyNumberFormat="1" applyBorder="1"/>
    <xf numFmtId="0" fontId="32" fillId="0" borderId="0" xfId="0" applyFont="1"/>
    <xf numFmtId="0" fontId="0" fillId="0" borderId="0" xfId="0" applyAlignment="1">
      <alignment horizontal="left"/>
    </xf>
    <xf numFmtId="43" fontId="0" fillId="0" borderId="0" xfId="1" applyFont="1" applyBorder="1" applyAlignment="1">
      <alignment horizontal="right"/>
    </xf>
    <xf numFmtId="169" fontId="21" fillId="0" borderId="0" xfId="3" applyNumberFormat="1" applyFont="1" applyProtection="1"/>
    <xf numFmtId="43" fontId="0" fillId="0" borderId="0" xfId="1" applyFont="1" applyProtection="1"/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33" fillId="0" borderId="0" xfId="0" applyFont="1"/>
    <xf numFmtId="0" fontId="6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1" fillId="0" borderId="0" xfId="0" applyFont="1" applyAlignment="1">
      <alignment horizontal="left" vertical="top" indent="2"/>
    </xf>
    <xf numFmtId="0" fontId="5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64" fontId="0" fillId="0" borderId="8" xfId="0" applyNumberFormat="1" applyBorder="1"/>
    <xf numFmtId="164" fontId="0" fillId="5" borderId="8" xfId="0" applyNumberFormat="1" applyFill="1" applyBorder="1"/>
    <xf numFmtId="0" fontId="20" fillId="0" borderId="0" xfId="0" quotePrefix="1" applyFont="1" applyAlignment="1" applyProtection="1">
      <alignment horizontal="left" vertical="center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5" fillId="0" borderId="0" xfId="0" applyFont="1"/>
    <xf numFmtId="0" fontId="7" fillId="8" borderId="8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164" fontId="2" fillId="0" borderId="8" xfId="2" applyNumberFormat="1" applyBorder="1" applyProtection="1"/>
    <xf numFmtId="44" fontId="2" fillId="0" borderId="8" xfId="2" applyBorder="1" applyProtection="1"/>
    <xf numFmtId="166" fontId="2" fillId="0" borderId="8" xfId="1" applyNumberFormat="1" applyFill="1" applyBorder="1" applyProtection="1"/>
    <xf numFmtId="166" fontId="2" fillId="0" borderId="8" xfId="1" applyNumberFormat="1" applyBorder="1" applyProtection="1"/>
    <xf numFmtId="166" fontId="2" fillId="2" borderId="8" xfId="1" applyNumberFormat="1" applyFill="1" applyBorder="1" applyProtection="1"/>
    <xf numFmtId="164" fontId="0" fillId="2" borderId="8" xfId="0" applyNumberFormat="1" applyFill="1" applyBorder="1"/>
    <xf numFmtId="0" fontId="34" fillId="0" borderId="0" xfId="0" applyFont="1"/>
    <xf numFmtId="0" fontId="3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8" borderId="0" xfId="0" applyFont="1" applyFill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29" fillId="0" borderId="0" xfId="0" applyFont="1"/>
    <xf numFmtId="170" fontId="0" fillId="0" borderId="0" xfId="0" applyNumberFormat="1"/>
    <xf numFmtId="43" fontId="0" fillId="0" borderId="0" xfId="1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43" fontId="0" fillId="0" borderId="0" xfId="1" applyFont="1" applyBorder="1" applyAlignment="1" applyProtection="1">
      <alignment horizontal="right"/>
      <protection locked="0"/>
    </xf>
    <xf numFmtId="0" fontId="37" fillId="0" borderId="0" xfId="0" applyFont="1"/>
    <xf numFmtId="0" fontId="38" fillId="0" borderId="0" xfId="0" applyFont="1" applyAlignment="1">
      <alignment horizontal="center"/>
    </xf>
    <xf numFmtId="164" fontId="37" fillId="0" borderId="0" xfId="2" applyNumberFormat="1" applyFont="1"/>
    <xf numFmtId="0" fontId="39" fillId="0" borderId="0" xfId="0" applyFont="1"/>
    <xf numFmtId="0" fontId="40" fillId="0" borderId="0" xfId="0" applyFont="1"/>
    <xf numFmtId="44" fontId="37" fillId="0" borderId="0" xfId="2" applyFont="1"/>
    <xf numFmtId="0" fontId="42" fillId="0" borderId="0" xfId="0" applyFont="1" applyAlignment="1">
      <alignment vertical="center" wrapText="1"/>
    </xf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3" xfId="4" xr:uid="{00000000-0005-0000-0000-000003000000}"/>
    <cellStyle name="Percent" xfId="3" builtinId="5"/>
  </cellStyles>
  <dxfs count="41"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  <color auto="1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i val="0"/>
        <color auto="1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 val="0"/>
        <i val="0"/>
        <color auto="1"/>
      </font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  <color auto="1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i val="0"/>
        <color auto="1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74956</xdr:colOff>
      <xdr:row>20</xdr:row>
      <xdr:rowOff>19050</xdr:rowOff>
    </xdr:from>
    <xdr:to>
      <xdr:col>6</xdr:col>
      <xdr:colOff>24433</xdr:colOff>
      <xdr:row>22</xdr:row>
      <xdr:rowOff>76291</xdr:rowOff>
    </xdr:to>
    <xdr:sp macro="[0]!ClearForm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90006" y="2200275"/>
          <a:ext cx="1330602" cy="381091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bg1"/>
              </a:solidFill>
            </a:rPr>
            <a:t>Clear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65018</xdr:colOff>
      <xdr:row>16</xdr:row>
      <xdr:rowOff>36858</xdr:rowOff>
    </xdr:from>
    <xdr:to>
      <xdr:col>6</xdr:col>
      <xdr:colOff>26090</xdr:colOff>
      <xdr:row>16</xdr:row>
      <xdr:rowOff>417858</xdr:rowOff>
    </xdr:to>
    <xdr:sp macro="[0]!ClearForm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99193" y="1579908"/>
          <a:ext cx="1342197" cy="381000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bg1"/>
              </a:solidFill>
            </a:rPr>
            <a:t>Clear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L72"/>
  <sheetViews>
    <sheetView showGridLines="0" tabSelected="1" topLeftCell="A7" zoomScaleNormal="100" workbookViewId="0">
      <selection activeCell="E44" sqref="E44"/>
    </sheetView>
  </sheetViews>
  <sheetFormatPr defaultColWidth="9.140625" defaultRowHeight="12.75" outlineLevelRow="1"/>
  <cols>
    <col min="1" max="1" width="2.7109375" customWidth="1"/>
    <col min="2" max="2" width="4.7109375" customWidth="1"/>
    <col min="3" max="3" width="42.85546875" customWidth="1"/>
    <col min="4" max="6" width="20.7109375" customWidth="1"/>
    <col min="7" max="7" width="2.5703125" customWidth="1"/>
    <col min="8" max="9" width="2.7109375" customWidth="1"/>
    <col min="10" max="10" width="24.85546875" style="43" bestFit="1" customWidth="1"/>
    <col min="11" max="11" width="4.7109375" style="43" bestFit="1" customWidth="1"/>
  </cols>
  <sheetData>
    <row r="1" spans="1:12" s="107" customFormat="1" ht="12.2" hidden="1" customHeight="1" outlineLevel="1">
      <c r="C1" s="107" t="s">
        <v>143</v>
      </c>
      <c r="E1" s="205">
        <v>12</v>
      </c>
      <c r="F1" s="107" t="s">
        <v>199</v>
      </c>
      <c r="G1" s="108">
        <v>44146</v>
      </c>
    </row>
    <row r="2" spans="1:12" s="107" customFormat="1" ht="12.2" hidden="1" customHeight="1" outlineLevel="1">
      <c r="C2" s="107" t="s">
        <v>133</v>
      </c>
      <c r="E2" s="107" t="e">
        <f>IF($E21="Agreed Salary","Agreed Salary",IF($E$21="Director of Studies",$E$21&amp;"__"&amp;E24,VLOOKUP($E$22,BE_Lookup!$E$4:$F$8,2,FALSE)))</f>
        <v>#N/A</v>
      </c>
    </row>
    <row r="3" spans="1:12" s="107" customFormat="1" ht="12.2" hidden="1" customHeight="1" outlineLevel="1">
      <c r="C3" s="107" t="s">
        <v>154</v>
      </c>
      <c r="E3" s="107" t="e">
        <f>VLOOKUP($E$2&amp;"_"&amp;$E$23, BE_Lookup!$E$19:$F$42, 2, FALSE)</f>
        <v>#N/A</v>
      </c>
    </row>
    <row r="4" spans="1:12" s="107" customFormat="1" ht="12.2" hidden="1" customHeight="1" outlineLevel="1">
      <c r="C4" s="107" t="s">
        <v>198</v>
      </c>
      <c r="E4" s="107" t="e">
        <f>$E$2&amp;"_"&amp;$E$23&amp;"_"&amp;$E$24</f>
        <v>#N/A</v>
      </c>
    </row>
    <row r="5" spans="1:12" s="107" customFormat="1" ht="12.2" hidden="1" customHeight="1" outlineLevel="1">
      <c r="C5" s="107" t="s">
        <v>60</v>
      </c>
    </row>
    <row r="6" spans="1:12" s="107" customFormat="1" ht="27" hidden="1" customHeight="1" outlineLevel="1">
      <c r="C6" s="107" t="s">
        <v>203</v>
      </c>
      <c r="D6" s="107" t="s">
        <v>105</v>
      </c>
      <c r="E6" s="169">
        <f>VLOOKUP($D$6, Lookup_SalaryPlan, $E$1, FALSE)</f>
        <v>123881</v>
      </c>
      <c r="F6" s="107">
        <f>AnnualLeaveLoadingCap*1.31%</f>
        <v>1622.8411000000001</v>
      </c>
    </row>
    <row r="7" spans="1:12" collapsed="1"/>
    <row r="8" spans="1:12">
      <c r="B8" s="239" t="s">
        <v>0</v>
      </c>
      <c r="C8" s="239"/>
      <c r="D8" s="239"/>
      <c r="E8" s="239"/>
      <c r="F8" s="239"/>
      <c r="G8" s="239"/>
    </row>
    <row r="9" spans="1:12" ht="20.25">
      <c r="B9" s="240" t="s">
        <v>242</v>
      </c>
      <c r="C9" s="239"/>
      <c r="D9" s="239"/>
      <c r="E9" s="239"/>
      <c r="F9" s="239"/>
      <c r="G9" s="239"/>
    </row>
    <row r="10" spans="1:12" ht="5.25" customHeight="1" thickBot="1"/>
    <row r="11" spans="1:12" ht="20.100000000000001" customHeight="1">
      <c r="B11" s="241" t="s">
        <v>1</v>
      </c>
      <c r="C11" s="242"/>
      <c r="D11" s="242"/>
      <c r="E11" s="242"/>
      <c r="F11" s="242"/>
      <c r="G11" s="243"/>
      <c r="J11" s="45"/>
    </row>
    <row r="12" spans="1:12" s="43" customFormat="1" ht="31.7" customHeight="1">
      <c r="A12"/>
      <c r="B12" s="244" t="s">
        <v>251</v>
      </c>
      <c r="C12" s="245"/>
      <c r="D12" s="245"/>
      <c r="E12" s="245"/>
      <c r="F12" s="245"/>
      <c r="G12" s="246"/>
      <c r="H12"/>
      <c r="I12"/>
      <c r="J12" s="45"/>
      <c r="L12"/>
    </row>
    <row r="13" spans="1:12" ht="6" customHeight="1">
      <c r="B13" s="5"/>
      <c r="F13" s="25"/>
      <c r="G13" s="206"/>
    </row>
    <row r="14" spans="1:12">
      <c r="B14" s="141" t="s">
        <v>22</v>
      </c>
      <c r="C14" s="142"/>
      <c r="D14" s="142"/>
      <c r="E14" s="71"/>
      <c r="F14" s="143"/>
      <c r="G14" s="207"/>
    </row>
    <row r="15" spans="1:12" ht="12.75" hidden="1" customHeight="1" outlineLevel="1">
      <c r="B15" s="178"/>
      <c r="C15" s="221">
        <v>2020</v>
      </c>
      <c r="D15" s="179"/>
      <c r="F15" s="180" t="s">
        <v>207</v>
      </c>
      <c r="G15" s="206"/>
    </row>
    <row r="16" spans="1:12" collapsed="1">
      <c r="B16" s="178"/>
      <c r="C16" s="182" t="s">
        <v>252</v>
      </c>
      <c r="D16" s="179"/>
      <c r="F16" s="180" t="s">
        <v>244</v>
      </c>
      <c r="G16" s="206"/>
    </row>
    <row r="17" spans="1:12" s="43" customFormat="1">
      <c r="A17"/>
      <c r="B17" s="247"/>
      <c r="C17" s="248"/>
      <c r="D17" s="248"/>
      <c r="E17" s="248"/>
      <c r="F17" s="248"/>
      <c r="G17" s="249"/>
      <c r="H17"/>
      <c r="I17"/>
      <c r="L17"/>
    </row>
    <row r="18" spans="1:12" s="43" customFormat="1">
      <c r="A18"/>
      <c r="B18" s="133" t="s">
        <v>201</v>
      </c>
      <c r="C18" s="131"/>
      <c r="D18" s="131"/>
      <c r="E18" s="131"/>
      <c r="F18" s="131"/>
      <c r="G18" s="132"/>
      <c r="H18"/>
      <c r="I18"/>
      <c r="L18"/>
    </row>
    <row r="19" spans="1:12" s="43" customFormat="1">
      <c r="A19"/>
      <c r="B19" s="195"/>
      <c r="C19" s="196"/>
      <c r="D19" s="196"/>
      <c r="E19" s="196"/>
      <c r="F19" s="196"/>
      <c r="G19" s="197"/>
      <c r="H19"/>
      <c r="I19"/>
      <c r="L19"/>
    </row>
    <row r="20" spans="1:12" s="43" customFormat="1" ht="14.25" hidden="1" customHeight="1" outlineLevel="1">
      <c r="A20"/>
      <c r="B20" s="105"/>
      <c r="C20" s="103" t="s">
        <v>142</v>
      </c>
      <c r="D20" s="196"/>
      <c r="E20" s="208">
        <v>2023</v>
      </c>
      <c r="F20" s="106"/>
      <c r="G20" s="203"/>
      <c r="H20"/>
      <c r="I20"/>
      <c r="L20"/>
    </row>
    <row r="21" spans="1:12" collapsed="1">
      <c r="B21" s="105"/>
      <c r="C21" s="103" t="s">
        <v>134</v>
      </c>
      <c r="D21" s="196"/>
      <c r="E21" s="208"/>
      <c r="F21" s="196"/>
      <c r="G21" s="197"/>
    </row>
    <row r="22" spans="1:12">
      <c r="B22" s="105"/>
      <c r="C22" s="68" t="s">
        <v>135</v>
      </c>
      <c r="D22" s="196"/>
      <c r="E22" s="209"/>
      <c r="F22" s="196"/>
      <c r="G22" s="197"/>
    </row>
    <row r="23" spans="1:12">
      <c r="B23" s="105"/>
      <c r="C23" s="68" t="s">
        <v>136</v>
      </c>
      <c r="D23" s="196"/>
      <c r="E23" s="209"/>
      <c r="F23" s="196"/>
      <c r="G23" s="197"/>
    </row>
    <row r="24" spans="1:12">
      <c r="B24" s="105"/>
      <c r="C24" s="68" t="s">
        <v>137</v>
      </c>
      <c r="D24" s="196"/>
      <c r="E24" s="227"/>
      <c r="F24" s="196"/>
      <c r="G24" s="197"/>
    </row>
    <row r="25" spans="1:12">
      <c r="B25" s="195"/>
      <c r="C25" s="67"/>
      <c r="D25" s="196"/>
      <c r="E25" s="228"/>
      <c r="F25" s="196"/>
      <c r="G25" s="197"/>
    </row>
    <row r="26" spans="1:12">
      <c r="B26" s="195"/>
      <c r="C26" s="104" t="s">
        <v>138</v>
      </c>
      <c r="D26" s="196"/>
      <c r="E26" s="229"/>
      <c r="G26" s="197"/>
    </row>
    <row r="27" spans="1:12">
      <c r="B27" s="195"/>
      <c r="C27" s="102" t="s">
        <v>139</v>
      </c>
      <c r="D27" s="196"/>
      <c r="E27" s="227"/>
      <c r="F27" s="196"/>
      <c r="G27" s="197"/>
    </row>
    <row r="28" spans="1:12" ht="36.75">
      <c r="B28" s="195"/>
      <c r="C28" s="238" t="s">
        <v>235</v>
      </c>
      <c r="D28" s="196"/>
      <c r="E28" s="230"/>
      <c r="F28" s="237"/>
      <c r="G28" s="197"/>
    </row>
    <row r="29" spans="1:12">
      <c r="B29" s="195"/>
      <c r="C29" s="103" t="s">
        <v>60</v>
      </c>
      <c r="D29" s="196"/>
      <c r="E29" s="208"/>
      <c r="F29" s="196"/>
      <c r="G29" s="197"/>
    </row>
    <row r="30" spans="1:12" ht="12.75" customHeight="1">
      <c r="B30" s="195"/>
      <c r="C30" s="124" t="s">
        <v>221</v>
      </c>
      <c r="D30" s="196"/>
      <c r="E30" s="196"/>
      <c r="F30" s="196"/>
      <c r="G30" s="197"/>
      <c r="L30" s="198"/>
    </row>
    <row r="31" spans="1:12" ht="5.25" hidden="1" customHeight="1" outlineLevel="1">
      <c r="B31" s="195"/>
      <c r="C31" s="196"/>
      <c r="D31" s="196"/>
      <c r="E31" s="196"/>
      <c r="F31" s="196"/>
      <c r="G31" s="197"/>
    </row>
    <row r="32" spans="1:12" ht="12.75" hidden="1" customHeight="1" outlineLevel="1">
      <c r="B32" s="2"/>
      <c r="G32" s="1"/>
    </row>
    <row r="33" spans="1:12" ht="3.2" customHeight="1" collapsed="1">
      <c r="B33" s="2"/>
      <c r="G33" s="1"/>
    </row>
    <row r="34" spans="1:12">
      <c r="B34" s="134"/>
      <c r="C34" s="135"/>
      <c r="D34" s="135"/>
      <c r="E34" s="135"/>
      <c r="F34" s="222" t="s">
        <v>219</v>
      </c>
      <c r="G34" s="211"/>
    </row>
    <row r="35" spans="1:12">
      <c r="B35" s="134"/>
      <c r="C35" s="135"/>
      <c r="D35" s="138"/>
      <c r="E35" s="138"/>
      <c r="F35" s="223" t="s">
        <v>220</v>
      </c>
      <c r="G35" s="212"/>
    </row>
    <row r="36" spans="1:12" s="43" customFormat="1" ht="4.7" customHeight="1">
      <c r="A36"/>
      <c r="B36" s="3"/>
      <c r="C36"/>
      <c r="D36"/>
      <c r="E36"/>
      <c r="F36"/>
      <c r="G36" s="1"/>
      <c r="H36"/>
      <c r="I36"/>
      <c r="L36"/>
    </row>
    <row r="37" spans="1:12" s="43" customFormat="1">
      <c r="A37"/>
      <c r="B37" s="5" t="str">
        <f>"Annual salary at "&amp;TEXT(E20,"0")&amp;" rate (A)"</f>
        <v>Annual salary at 2023 rate (A)</v>
      </c>
      <c r="C37"/>
      <c r="D37" s="4" t="s">
        <v>5</v>
      </c>
      <c r="E37" s="6"/>
      <c r="F37" s="129" t="str">
        <f>IFERROR(VLOOKUP($E4,Lookup_SalaryPlan,$E$1,FALSE)*$E$29,"")</f>
        <v/>
      </c>
      <c r="G37" s="213"/>
      <c r="H37"/>
      <c r="I37"/>
      <c r="L37"/>
    </row>
    <row r="38" spans="1:12" s="43" customFormat="1" ht="8.1" customHeight="1">
      <c r="A38"/>
      <c r="B38" s="3"/>
      <c r="C38"/>
      <c r="D38"/>
      <c r="E38" s="7"/>
      <c r="F38" s="8"/>
      <c r="G38" s="214"/>
      <c r="H38"/>
      <c r="I38"/>
      <c r="L38"/>
    </row>
    <row r="39" spans="1:12" s="43" customFormat="1">
      <c r="A39"/>
      <c r="B39" s="3"/>
      <c r="C39" t="s">
        <v>7</v>
      </c>
      <c r="D39" s="4" t="s">
        <v>6</v>
      </c>
      <c r="E39" s="186">
        <f>17.5%/52*4</f>
        <v>1.3461538461538461E-2</v>
      </c>
      <c r="F39" s="128">
        <f>IFERROR(IF(F$37="", 0, IF(F$37&gt;AnnualLeaveLoadingCap, AnnualLeaveLoadingCap*E39, F$37*E39)),"")</f>
        <v>0</v>
      </c>
      <c r="G39" s="215"/>
      <c r="H39"/>
      <c r="I39"/>
      <c r="L39"/>
    </row>
    <row r="40" spans="1:12" s="43" customFormat="1">
      <c r="A40"/>
      <c r="B40" s="3"/>
      <c r="C40" s="124" t="str">
        <f>"[calculated on Current Annual Salary capped at HEO9 step 1 (" &amp; TEXT(AnnualLeaveLoadingCap, "$0,000.00")&amp;") for " &amp; TEXT(E20,"0") &amp; "]"</f>
        <v>[calculated on Current Annual Salary capped at HEO9 step 1 ($123,881.00) for 2023]</v>
      </c>
      <c r="D40"/>
      <c r="E40" s="13"/>
      <c r="F40" s="10"/>
      <c r="G40" s="216"/>
      <c r="H40"/>
      <c r="I40"/>
      <c r="L40"/>
    </row>
    <row r="41" spans="1:12" s="43" customFormat="1" ht="8.1" customHeight="1">
      <c r="A41"/>
      <c r="B41" s="3"/>
      <c r="C41" s="11"/>
      <c r="D41" s="12"/>
      <c r="E41" s="14"/>
      <c r="F41"/>
      <c r="G41" s="1"/>
      <c r="H41"/>
      <c r="I41"/>
      <c r="L41"/>
    </row>
    <row r="42" spans="1:12" s="43" customFormat="1">
      <c r="A42"/>
      <c r="B42" s="3"/>
      <c r="C42" s="170" t="s">
        <v>214</v>
      </c>
      <c r="D42" s="4" t="s">
        <v>8</v>
      </c>
      <c r="E42" s="14"/>
      <c r="F42"/>
      <c r="G42" s="1"/>
      <c r="H42"/>
      <c r="I42"/>
      <c r="L42"/>
    </row>
    <row r="43" spans="1:12" s="43" customFormat="1">
      <c r="A43"/>
      <c r="B43" s="3"/>
      <c r="C43" s="199" t="str">
        <f>IF(AND($E$26="", $E$27=""), "", IF($E$26&lt;&gt;"", $E$26, $E$27))</f>
        <v/>
      </c>
      <c r="D43"/>
      <c r="E43" s="126"/>
      <c r="F43" s="130">
        <f>IFERROR(IF($C43="No Loading", 0, VLOOKUP(("__"&amp;$C43), Lookup_SalaryPlan, $E1, FALSE)*$E$29),0)</f>
        <v>0</v>
      </c>
      <c r="G43" s="1"/>
      <c r="H43"/>
      <c r="I43"/>
      <c r="L43"/>
    </row>
    <row r="44" spans="1:12" s="43" customFormat="1">
      <c r="A44"/>
      <c r="B44" s="3"/>
      <c r="C44" s="200" t="s">
        <v>232</v>
      </c>
      <c r="D44" s="15"/>
      <c r="E44" s="113"/>
      <c r="F44" s="17">
        <f>IF(E44="",0, E44)</f>
        <v>0</v>
      </c>
      <c r="G44" s="1"/>
      <c r="H44"/>
      <c r="I44"/>
      <c r="L44"/>
    </row>
    <row r="45" spans="1:12" s="43" customFormat="1">
      <c r="A45"/>
      <c r="B45" s="3"/>
      <c r="C45" s="201" t="s">
        <v>215</v>
      </c>
      <c r="D45" s="12"/>
      <c r="E45" s="14"/>
      <c r="F45"/>
      <c r="G45" s="1"/>
      <c r="H45"/>
      <c r="I45"/>
      <c r="L45"/>
    </row>
    <row r="46" spans="1:12" s="43" customFormat="1">
      <c r="A46"/>
      <c r="B46" s="109" t="s">
        <v>9</v>
      </c>
      <c r="C46" s="110"/>
      <c r="D46" s="111"/>
      <c r="E46" s="110"/>
      <c r="F46" s="125" t="str">
        <f>IFERROR(F$37+F$39+F$43+F$44,"")</f>
        <v/>
      </c>
      <c r="G46" s="217"/>
      <c r="H46"/>
      <c r="I46"/>
      <c r="J46" s="172"/>
      <c r="L46"/>
    </row>
    <row r="47" spans="1:12" s="43" customFormat="1" ht="6" customHeight="1">
      <c r="A47"/>
      <c r="B47" s="5"/>
      <c r="C47"/>
      <c r="D47"/>
      <c r="E47"/>
      <c r="F47"/>
      <c r="G47" s="1"/>
      <c r="H47"/>
      <c r="I47"/>
      <c r="L47"/>
    </row>
    <row r="48" spans="1:12" s="43" customFormat="1">
      <c r="A48"/>
      <c r="B48" s="5" t="s">
        <v>10</v>
      </c>
      <c r="C48"/>
      <c r="D48"/>
      <c r="E48"/>
      <c r="F48"/>
      <c r="G48" s="1"/>
      <c r="H48"/>
      <c r="I48"/>
      <c r="L48"/>
    </row>
    <row r="49" spans="1:12" s="43" customFormat="1">
      <c r="A49"/>
      <c r="B49" s="3"/>
      <c r="C49" t="s">
        <v>11</v>
      </c>
      <c r="D49" s="15" t="s">
        <v>55</v>
      </c>
      <c r="E49" s="186">
        <v>3.2500000000000001E-2</v>
      </c>
      <c r="F49" s="174" t="str">
        <f>IFERROR(+(F$46-F$39)*E49,"")</f>
        <v/>
      </c>
      <c r="G49" s="216"/>
      <c r="H49"/>
      <c r="I49"/>
      <c r="L49"/>
    </row>
    <row r="50" spans="1:12" s="43" customFormat="1">
      <c r="A50"/>
      <c r="B50" s="3"/>
      <c r="C50" s="124" t="s">
        <v>12</v>
      </c>
      <c r="D50" s="11"/>
      <c r="E50"/>
      <c r="F50" s="173"/>
      <c r="G50" s="1"/>
      <c r="H50"/>
      <c r="I50"/>
      <c r="L50"/>
    </row>
    <row r="51" spans="1:12" s="43" customFormat="1" ht="8.1" customHeight="1">
      <c r="A51"/>
      <c r="B51" s="3"/>
      <c r="C51"/>
      <c r="D51"/>
      <c r="E51"/>
      <c r="F51" s="173"/>
      <c r="G51" s="1"/>
      <c r="H51"/>
      <c r="I51"/>
      <c r="J51" s="172"/>
      <c r="L51"/>
    </row>
    <row r="52" spans="1:12">
      <c r="B52" s="3"/>
      <c r="C52" t="s">
        <v>13</v>
      </c>
      <c r="D52" s="4" t="s">
        <v>14</v>
      </c>
      <c r="E52" s="171">
        <f>IFERROR(VLOOKUP($E20, Lookup_SuperRate, 2, FALSE),"")</f>
        <v>0.17</v>
      </c>
      <c r="F52" s="174" t="str">
        <f>IFERROR((F$46-F$44-F$39)*E52,"")</f>
        <v/>
      </c>
      <c r="G52" s="216"/>
      <c r="J52" s="172"/>
    </row>
    <row r="53" spans="1:12">
      <c r="B53" s="3"/>
      <c r="C53" s="124" t="s">
        <v>231</v>
      </c>
      <c r="D53" s="11"/>
      <c r="E53" s="14"/>
      <c r="F53" s="173"/>
      <c r="G53" s="1"/>
      <c r="K53" s="44"/>
    </row>
    <row r="54" spans="1:12" ht="8.1" customHeight="1">
      <c r="B54" s="3"/>
      <c r="E54" s="19"/>
      <c r="F54" s="173"/>
      <c r="G54" s="1"/>
      <c r="K54" s="44"/>
    </row>
    <row r="55" spans="1:12">
      <c r="B55" s="3"/>
      <c r="C55" t="s">
        <v>15</v>
      </c>
      <c r="D55" s="4" t="s">
        <v>16</v>
      </c>
      <c r="E55" s="20">
        <v>4.9500000000000002E-2</v>
      </c>
      <c r="F55" s="174" t="str">
        <f>IFERROR((F$46+F$52)*E55,"")</f>
        <v/>
      </c>
      <c r="G55" s="216"/>
    </row>
    <row r="56" spans="1:12" ht="12.75" customHeight="1">
      <c r="B56" s="3"/>
      <c r="C56" s="124" t="s">
        <v>17</v>
      </c>
      <c r="D56" s="21"/>
      <c r="F56" s="173"/>
      <c r="G56" s="1"/>
    </row>
    <row r="57" spans="1:12" ht="8.1" customHeight="1">
      <c r="B57" s="3"/>
      <c r="C57" s="124"/>
      <c r="F57" s="173"/>
      <c r="G57" s="1"/>
    </row>
    <row r="58" spans="1:12">
      <c r="B58" s="3"/>
      <c r="C58" t="s">
        <v>18</v>
      </c>
      <c r="D58" s="4" t="s">
        <v>19</v>
      </c>
      <c r="E58" s="22">
        <v>5.0000000000000001E-3</v>
      </c>
      <c r="F58" s="174" t="str">
        <f>IFERROR((F$46+F52)*E58,"")</f>
        <v/>
      </c>
      <c r="G58" s="216"/>
    </row>
    <row r="59" spans="1:12">
      <c r="B59" s="3"/>
      <c r="C59" s="124" t="s">
        <v>253</v>
      </c>
      <c r="D59" s="21"/>
      <c r="F59" s="173"/>
      <c r="G59" s="1"/>
    </row>
    <row r="60" spans="1:12" ht="8.1" customHeight="1">
      <c r="B60" s="3"/>
      <c r="F60" s="173"/>
      <c r="G60" s="1"/>
    </row>
    <row r="61" spans="1:12">
      <c r="B61" s="3"/>
      <c r="C61" s="23" t="s">
        <v>20</v>
      </c>
      <c r="D61" s="23"/>
      <c r="E61" s="24"/>
      <c r="F61" s="175">
        <f>SUM(F$49,F$52,F$55,F$58)</f>
        <v>0</v>
      </c>
      <c r="G61" s="216"/>
    </row>
    <row r="62" spans="1:12" ht="10.5" customHeight="1" thickBot="1">
      <c r="B62" s="3"/>
      <c r="E62" s="14"/>
      <c r="F62" s="176"/>
      <c r="G62" s="1"/>
    </row>
    <row r="63" spans="1:12" ht="14.25" thickTop="1" thickBot="1">
      <c r="B63" s="109" t="s">
        <v>21</v>
      </c>
      <c r="C63" s="110"/>
      <c r="D63" s="110"/>
      <c r="E63" s="110"/>
      <c r="F63" s="177" t="str">
        <f>IFERROR(F$46+F$61,"")</f>
        <v/>
      </c>
      <c r="G63" s="218"/>
    </row>
    <row r="64" spans="1:12" ht="6" customHeight="1" thickBot="1">
      <c r="B64" s="26"/>
      <c r="C64" s="27"/>
      <c r="D64" s="27"/>
      <c r="E64" s="27"/>
      <c r="F64" s="27"/>
      <c r="G64" s="28"/>
    </row>
    <row r="66" spans="2:11" s="183" customFormat="1">
      <c r="F66" s="193"/>
      <c r="J66" s="184"/>
      <c r="K66" s="184"/>
    </row>
    <row r="67" spans="2:11">
      <c r="F67" s="173"/>
    </row>
    <row r="68" spans="2:11">
      <c r="F68" s="194"/>
    </row>
    <row r="69" spans="2:11">
      <c r="B69" s="29"/>
    </row>
    <row r="71" spans="2:11">
      <c r="F71" s="183"/>
      <c r="G71" s="183"/>
    </row>
    <row r="72" spans="2:11">
      <c r="F72" s="183"/>
      <c r="G72" s="183"/>
    </row>
  </sheetData>
  <sheetProtection algorithmName="SHA-512" hashValue="OSiwETaIL5jMjmPeJi5vshlYa6VxENf4M1/20LTe1F/N5JSHDn5V4u9Yg+p6Q3sC0HRRYOr+OQ8Yw46wZMK0jg==" saltValue="h1EaTUYr2Fdyh2LxVpHh8w==" spinCount="100000" sheet="1" objects="1" scenarios="1"/>
  <mergeCells count="5">
    <mergeCell ref="B8:G8"/>
    <mergeCell ref="B9:G9"/>
    <mergeCell ref="B11:G11"/>
    <mergeCell ref="B12:G12"/>
    <mergeCell ref="B17:G17"/>
  </mergeCells>
  <conditionalFormatting sqref="E20">
    <cfRule type="cellIs" dxfId="40" priority="24" operator="equal">
      <formula>""</formula>
    </cfRule>
  </conditionalFormatting>
  <conditionalFormatting sqref="E21 E24">
    <cfRule type="cellIs" dxfId="39" priority="23" operator="equal">
      <formula>""</formula>
    </cfRule>
  </conditionalFormatting>
  <conditionalFormatting sqref="E23">
    <cfRule type="cellIs" dxfId="38" priority="22" operator="equal">
      <formula>""</formula>
    </cfRule>
  </conditionalFormatting>
  <conditionalFormatting sqref="E22">
    <cfRule type="cellIs" dxfId="37" priority="21" operator="equal">
      <formula>""</formula>
    </cfRule>
  </conditionalFormatting>
  <conditionalFormatting sqref="E28">
    <cfRule type="cellIs" dxfId="36" priority="9" operator="notEqual">
      <formula>""</formula>
    </cfRule>
    <cfRule type="expression" dxfId="35" priority="20">
      <formula>$E$21="agreed Salary"</formula>
    </cfRule>
  </conditionalFormatting>
  <conditionalFormatting sqref="C28">
    <cfRule type="expression" dxfId="34" priority="19">
      <formula>$E$21="Agreed Salary"</formula>
    </cfRule>
  </conditionalFormatting>
  <conditionalFormatting sqref="C26">
    <cfRule type="expression" dxfId="33" priority="18">
      <formula>$E$22="Academic"</formula>
    </cfRule>
  </conditionalFormatting>
  <conditionalFormatting sqref="E26">
    <cfRule type="cellIs" dxfId="32" priority="13" operator="notEqual">
      <formula>""</formula>
    </cfRule>
    <cfRule type="expression" dxfId="31" priority="17">
      <formula>$E$22="Academic"</formula>
    </cfRule>
  </conditionalFormatting>
  <conditionalFormatting sqref="C27">
    <cfRule type="expression" dxfId="30" priority="16">
      <formula>$E$22="English Language Teacher"</formula>
    </cfRule>
  </conditionalFormatting>
  <conditionalFormatting sqref="E27">
    <cfRule type="cellIs" dxfId="29" priority="14" operator="notEqual">
      <formula>""</formula>
    </cfRule>
    <cfRule type="expression" dxfId="28" priority="15">
      <formula>$E$22="english Language teacher"</formula>
    </cfRule>
  </conditionalFormatting>
  <conditionalFormatting sqref="C24">
    <cfRule type="expression" dxfId="27" priority="6">
      <formula>$E$22="Senior Manager"</formula>
    </cfRule>
  </conditionalFormatting>
  <conditionalFormatting sqref="E24">
    <cfRule type="expression" dxfId="26" priority="5">
      <formula>$E$22="Senior Manager"</formula>
    </cfRule>
  </conditionalFormatting>
  <conditionalFormatting sqref="C22:C24">
    <cfRule type="expression" dxfId="25" priority="11">
      <formula>$E$21="Agreed Salary"</formula>
    </cfRule>
  </conditionalFormatting>
  <conditionalFormatting sqref="E22:E24">
    <cfRule type="expression" dxfId="24" priority="10">
      <formula>$E$21="Agreed Salary"</formula>
    </cfRule>
  </conditionalFormatting>
  <conditionalFormatting sqref="E44">
    <cfRule type="cellIs" dxfId="23" priority="8" operator="equal">
      <formula>""</formula>
    </cfRule>
  </conditionalFormatting>
  <conditionalFormatting sqref="E29">
    <cfRule type="cellIs" dxfId="22" priority="2" operator="equal">
      <formula>""</formula>
    </cfRule>
  </conditionalFormatting>
  <conditionalFormatting sqref="F28">
    <cfRule type="expression" dxfId="21" priority="1">
      <formula>$E$21="Agreed Salary"</formula>
    </cfRule>
  </conditionalFormatting>
  <dataValidations count="4">
    <dataValidation type="list" allowBlank="1" showInputMessage="1" showErrorMessage="1" sqref="E24" xr:uid="{00000000-0002-0000-0000-000000000000}">
      <formula1>INDIRECT(SUBSTITUTE($E$3," ","_"))</formula1>
    </dataValidation>
    <dataValidation type="list" allowBlank="1" showInputMessage="1" showErrorMessage="1" sqref="E23" xr:uid="{00000000-0002-0000-0000-000001000000}">
      <formula1>IF($E$2="ACA", List_ACA,IF($E$2="HEO", List_HEO, IF($E$2="SNR", List_Snr, IF($E$2="ELT", List_ELT, IF($E$2="STF", List_STF,"")))))</formula1>
    </dataValidation>
    <dataValidation type="list" allowBlank="1" showInputMessage="1" showErrorMessage="1" sqref="E21" xr:uid="{00000000-0002-0000-0000-000002000000}">
      <formula1>DropDown_Cat</formula1>
    </dataValidation>
    <dataValidation type="decimal" allowBlank="1" showInputMessage="1" showErrorMessage="1" error="FTE should be between 0 and _x000a_1." sqref="E29" xr:uid="{00000000-0002-0000-0000-000003000000}">
      <formula1>0.001</formula1>
      <formula2>1</formula2>
    </dataValidation>
  </dataValidations>
  <printOptions horizontalCentered="1"/>
  <pageMargins left="0.15748031496062992" right="0.15748031496062992" top="0.39370078740157483" bottom="0.39370078740157483" header="0.11811023622047245" footer="0.11811023622047245"/>
  <pageSetup scale="76" orientation="portrait" r:id="rId1"/>
  <headerFooter alignWithMargins="0"/>
  <ignoredErrors>
    <ignoredError sqref="F37 E3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IF($E$22="Academic", 'BE_Salary Plan'!$F$31:$F$34)</xm:f>
          </x14:formula1>
          <xm:sqref>E26</xm:sqref>
        </x14:dataValidation>
        <x14:dataValidation type="list" allowBlank="1" showInputMessage="1" showErrorMessage="1" xr:uid="{00000000-0002-0000-0000-000005000000}">
          <x14:formula1>
            <xm:f>IF($E$22="English Language Teacher", 'BE_Salary Plan'!$F$111:$F$113)</xm:f>
          </x14:formula1>
          <xm:sqref>E27</xm:sqref>
        </x14:dataValidation>
        <x14:dataValidation type="list" allowBlank="1" showInputMessage="1" showErrorMessage="1" xr:uid="{00000000-0002-0000-0000-000006000000}">
          <x14:formula1>
            <xm:f>IF($E$21="Academic", BE_Lookup!$I$4:$I$5, IF($E$21="Professional", BE_Lookup!$J$4:$J$6, ""))</xm:f>
          </x14:formula1>
          <xm:sqref>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K67"/>
  <sheetViews>
    <sheetView showGridLines="0" topLeftCell="A7" zoomScaleNormal="100" workbookViewId="0">
      <selection activeCell="K16" sqref="K16"/>
    </sheetView>
  </sheetViews>
  <sheetFormatPr defaultColWidth="9.140625" defaultRowHeight="12.75" outlineLevelRow="1"/>
  <cols>
    <col min="1" max="1" width="2.7109375" customWidth="1"/>
    <col min="2" max="2" width="4.7109375" customWidth="1"/>
    <col min="3" max="3" width="52.140625" customWidth="1"/>
    <col min="4" max="6" width="20.7109375" customWidth="1"/>
    <col min="7" max="7" width="2.5703125" customWidth="1"/>
    <col min="8" max="8" width="2.7109375" customWidth="1"/>
    <col min="9" max="9" width="2.7109375" style="43" customWidth="1"/>
    <col min="10" max="10" width="4.7109375" style="43" bestFit="1" customWidth="1"/>
  </cols>
  <sheetData>
    <row r="1" spans="1:11" s="107" customFormat="1" ht="12" hidden="1" outlineLevel="1">
      <c r="C1" s="107" t="s">
        <v>143</v>
      </c>
      <c r="E1" s="204">
        <f>HLOOKUP($E$20, Lookup_SalaryYr, 3, FALSE)</f>
        <v>12</v>
      </c>
      <c r="F1" s="205" t="s">
        <v>199</v>
      </c>
      <c r="G1" s="108">
        <f>'Eff Jul 23 - Continuing FT'!$G$1</f>
        <v>44146</v>
      </c>
    </row>
    <row r="2" spans="1:11" s="107" customFormat="1" ht="12" hidden="1" outlineLevel="1">
      <c r="C2" s="107" t="s">
        <v>133</v>
      </c>
      <c r="E2" s="107" t="e">
        <f>IF($E21="Agreed Salary","Agreed Salary",IF($E$21="Director of Studies",$E$21&amp;"__"&amp;E24,VLOOKUP($E$22,BE_Lookup!$E$4:$F$8,2,FALSE)))</f>
        <v>#N/A</v>
      </c>
    </row>
    <row r="3" spans="1:11" s="107" customFormat="1" ht="12" hidden="1" outlineLevel="1">
      <c r="C3" s="107" t="s">
        <v>154</v>
      </c>
      <c r="E3" s="107" t="e">
        <f>VLOOKUP($E$2&amp;"_"&amp;$E$23, BE_Lookup!$E$19:$F$42, 2, FALSE)</f>
        <v>#N/A</v>
      </c>
    </row>
    <row r="4" spans="1:11" s="107" customFormat="1" ht="12" hidden="1" outlineLevel="1">
      <c r="C4" s="107" t="s">
        <v>198</v>
      </c>
      <c r="E4" s="107" t="e">
        <f>$E$2&amp;"_"&amp;$E$23&amp;"_"&amp;$E$24</f>
        <v>#N/A</v>
      </c>
    </row>
    <row r="5" spans="1:11" s="107" customFormat="1" ht="12" hidden="1" outlineLevel="1">
      <c r="C5" s="107" t="s">
        <v>60</v>
      </c>
    </row>
    <row r="6" spans="1:11" s="107" customFormat="1" ht="12" hidden="1" outlineLevel="1">
      <c r="C6" s="107" t="s">
        <v>203</v>
      </c>
      <c r="D6" s="107" t="s">
        <v>105</v>
      </c>
      <c r="E6" s="169">
        <f>VLOOKUP($D$6, Lookup_SalaryPlan, $E$1, FALSE)</f>
        <v>123881</v>
      </c>
      <c r="F6" s="107">
        <f>AnnualLeaveLoadingCap*1.31%</f>
        <v>1622.8411000000001</v>
      </c>
    </row>
    <row r="7" spans="1:11" collapsed="1"/>
    <row r="8" spans="1:11">
      <c r="B8" s="239" t="s">
        <v>0</v>
      </c>
      <c r="C8" s="239"/>
      <c r="D8" s="239"/>
      <c r="E8" s="239"/>
      <c r="F8" s="239"/>
      <c r="G8" s="239"/>
    </row>
    <row r="9" spans="1:11" ht="20.25">
      <c r="B9" s="240" t="s">
        <v>241</v>
      </c>
      <c r="C9" s="239"/>
      <c r="D9" s="239"/>
      <c r="E9" s="239"/>
      <c r="F9" s="239"/>
      <c r="G9" s="239"/>
    </row>
    <row r="10" spans="1:11" ht="5.25" customHeight="1" thickBot="1"/>
    <row r="11" spans="1:11" ht="20.100000000000001" customHeight="1">
      <c r="B11" s="241" t="s">
        <v>1</v>
      </c>
      <c r="C11" s="242"/>
      <c r="D11" s="242"/>
      <c r="E11" s="242"/>
      <c r="F11" s="242"/>
      <c r="G11" s="243"/>
      <c r="I11" s="45"/>
    </row>
    <row r="12" spans="1:11" s="43" customFormat="1" ht="31.7" customHeight="1">
      <c r="A12"/>
      <c r="B12" s="244" t="s">
        <v>243</v>
      </c>
      <c r="C12" s="245"/>
      <c r="D12" s="245"/>
      <c r="E12" s="245"/>
      <c r="F12" s="245"/>
      <c r="G12" s="246"/>
      <c r="H12"/>
      <c r="I12" s="45"/>
      <c r="K12"/>
    </row>
    <row r="13" spans="1:11" ht="6" customHeight="1">
      <c r="B13" s="5"/>
      <c r="F13" s="25"/>
      <c r="G13" s="206"/>
    </row>
    <row r="14" spans="1:11">
      <c r="B14" s="141" t="s">
        <v>22</v>
      </c>
      <c r="C14" s="142"/>
      <c r="D14" s="142"/>
      <c r="E14" s="71"/>
      <c r="F14" s="143"/>
      <c r="G14" s="207"/>
    </row>
    <row r="15" spans="1:11" hidden="1" outlineLevel="1">
      <c r="B15" s="178"/>
      <c r="C15" s="221">
        <v>2020</v>
      </c>
      <c r="D15" s="179"/>
      <c r="E15" s="181"/>
      <c r="F15" s="180" t="s">
        <v>208</v>
      </c>
      <c r="G15" s="1"/>
      <c r="I15"/>
      <c r="J15"/>
    </row>
    <row r="16" spans="1:11" collapsed="1">
      <c r="B16" s="178"/>
      <c r="C16" s="182" t="s">
        <v>252</v>
      </c>
      <c r="D16" s="179"/>
      <c r="E16" s="181"/>
      <c r="F16" s="180" t="s">
        <v>212</v>
      </c>
      <c r="G16" s="1"/>
      <c r="I16"/>
      <c r="J16"/>
    </row>
    <row r="17" spans="1:11" s="43" customFormat="1" ht="35.1" customHeight="1">
      <c r="A17"/>
      <c r="B17" s="202"/>
      <c r="C17" s="106"/>
      <c r="D17" s="106"/>
      <c r="E17" s="106"/>
      <c r="F17" s="106"/>
      <c r="G17" s="203"/>
    </row>
    <row r="18" spans="1:11" s="43" customFormat="1" hidden="1" outlineLevel="1">
      <c r="A18"/>
      <c r="B18" s="133" t="s">
        <v>201</v>
      </c>
      <c r="C18" s="131"/>
      <c r="D18" s="131"/>
      <c r="E18" s="131"/>
      <c r="F18" s="131"/>
      <c r="G18" s="132"/>
      <c r="H18"/>
      <c r="K18"/>
    </row>
    <row r="19" spans="1:11" s="43" customFormat="1" hidden="1" outlineLevel="1">
      <c r="A19"/>
      <c r="B19" s="195"/>
      <c r="C19" s="196"/>
      <c r="D19" s="196"/>
      <c r="E19" s="196"/>
      <c r="F19" s="196"/>
      <c r="G19" s="197"/>
      <c r="H19"/>
      <c r="K19"/>
    </row>
    <row r="20" spans="1:11" s="43" customFormat="1" hidden="1" outlineLevel="1">
      <c r="A20"/>
      <c r="B20" s="105"/>
      <c r="C20" s="103" t="s">
        <v>142</v>
      </c>
      <c r="D20" s="196"/>
      <c r="E20" s="208">
        <v>2023</v>
      </c>
      <c r="F20" s="106"/>
      <c r="G20" s="203"/>
      <c r="H20"/>
      <c r="K20"/>
    </row>
    <row r="21" spans="1:11" hidden="1" outlineLevel="1">
      <c r="B21" s="105"/>
      <c r="C21" s="103" t="s">
        <v>134</v>
      </c>
      <c r="D21" s="196"/>
      <c r="E21" s="208"/>
      <c r="F21" s="196"/>
      <c r="G21" s="197"/>
    </row>
    <row r="22" spans="1:11" hidden="1" outlineLevel="1">
      <c r="B22" s="105"/>
      <c r="C22" s="68" t="s">
        <v>135</v>
      </c>
      <c r="D22" s="196"/>
      <c r="E22" s="209"/>
      <c r="F22" s="196"/>
      <c r="G22" s="197"/>
    </row>
    <row r="23" spans="1:11" hidden="1" outlineLevel="1">
      <c r="B23" s="105"/>
      <c r="C23" s="68" t="s">
        <v>136</v>
      </c>
      <c r="D23" s="196"/>
      <c r="E23" s="209"/>
      <c r="F23" s="196"/>
      <c r="G23" s="197"/>
    </row>
    <row r="24" spans="1:11" hidden="1" outlineLevel="1">
      <c r="B24" s="105"/>
      <c r="C24" s="68" t="s">
        <v>137</v>
      </c>
      <c r="D24" s="196"/>
      <c r="E24" s="191"/>
      <c r="F24" s="196"/>
      <c r="G24" s="197"/>
    </row>
    <row r="25" spans="1:11" hidden="1" outlineLevel="1">
      <c r="B25" s="195"/>
      <c r="C25" s="67"/>
      <c r="D25" s="196"/>
      <c r="E25" s="196"/>
      <c r="F25" s="196"/>
      <c r="G25" s="197"/>
    </row>
    <row r="26" spans="1:11" hidden="1" outlineLevel="1">
      <c r="B26" s="195"/>
      <c r="C26" s="104" t="s">
        <v>138</v>
      </c>
      <c r="D26" s="196"/>
      <c r="E26" s="67"/>
      <c r="G26" s="197"/>
    </row>
    <row r="27" spans="1:11" hidden="1" outlineLevel="1">
      <c r="B27" s="195"/>
      <c r="C27" s="102" t="s">
        <v>139</v>
      </c>
      <c r="D27" s="196"/>
      <c r="E27" s="191"/>
      <c r="F27" s="196"/>
      <c r="G27" s="197"/>
    </row>
    <row r="28" spans="1:11" hidden="1" outlineLevel="1">
      <c r="B28" s="195"/>
      <c r="C28" s="210" t="s">
        <v>140</v>
      </c>
      <c r="D28" s="196"/>
      <c r="E28" s="192"/>
      <c r="F28" s="196"/>
      <c r="G28" s="197"/>
    </row>
    <row r="29" spans="1:11" hidden="1" outlineLevel="1">
      <c r="B29" s="195"/>
      <c r="C29" s="103" t="s">
        <v>60</v>
      </c>
      <c r="D29" s="196"/>
      <c r="E29" s="208"/>
      <c r="F29" s="196"/>
      <c r="G29" s="197"/>
    </row>
    <row r="30" spans="1:11" hidden="1" outlineLevel="1">
      <c r="B30" s="195"/>
      <c r="C30" s="69"/>
      <c r="D30" s="196"/>
      <c r="E30" s="196"/>
      <c r="F30" s="196"/>
      <c r="G30" s="197"/>
      <c r="K30" s="198"/>
    </row>
    <row r="31" spans="1:11" ht="5.25" hidden="1" customHeight="1" outlineLevel="1">
      <c r="B31" s="195"/>
      <c r="C31" s="196"/>
      <c r="D31" s="196"/>
      <c r="E31" s="196"/>
      <c r="F31" s="196"/>
      <c r="G31" s="197"/>
    </row>
    <row r="32" spans="1:11" hidden="1" outlineLevel="1">
      <c r="B32" s="2"/>
      <c r="G32" s="1"/>
    </row>
    <row r="33" spans="1:10" ht="3.2" hidden="1" customHeight="1">
      <c r="B33" s="2"/>
      <c r="G33" s="1"/>
    </row>
    <row r="34" spans="1:10">
      <c r="B34" s="134"/>
      <c r="C34" s="135"/>
      <c r="D34" s="135"/>
      <c r="E34" s="136"/>
      <c r="F34" s="136" t="s">
        <v>4</v>
      </c>
      <c r="G34" s="137"/>
      <c r="I34"/>
      <c r="J34"/>
    </row>
    <row r="35" spans="1:10">
      <c r="B35" s="134"/>
      <c r="C35" s="135"/>
      <c r="D35" s="138"/>
      <c r="E35" s="139"/>
      <c r="F35" s="139"/>
      <c r="G35" s="140"/>
      <c r="I35"/>
      <c r="J35"/>
    </row>
    <row r="36" spans="1:10" s="43" customFormat="1" ht="4.7" customHeight="1">
      <c r="A36"/>
      <c r="B36" s="3"/>
      <c r="C36"/>
      <c r="D36"/>
      <c r="E36"/>
      <c r="F36"/>
      <c r="G36" s="1"/>
    </row>
    <row r="37" spans="1:10" s="43" customFormat="1">
      <c r="A37"/>
      <c r="B37" s="5" t="str">
        <f>"Annual salary at "&amp; TEXT(E20,"0") &amp;" rate (A)"</f>
        <v>Annual salary at 2023 rate (A)</v>
      </c>
      <c r="C37"/>
      <c r="D37" s="4" t="s">
        <v>5</v>
      </c>
      <c r="E37" s="6"/>
      <c r="F37" s="129"/>
      <c r="G37" s="1"/>
    </row>
    <row r="38" spans="1:10" s="43" customFormat="1" ht="8.1" customHeight="1">
      <c r="A38"/>
      <c r="B38" s="3"/>
      <c r="C38" s="11"/>
      <c r="D38" s="12"/>
      <c r="E38" s="14"/>
      <c r="F38"/>
      <c r="G38" s="1"/>
    </row>
    <row r="39" spans="1:10" s="43" customFormat="1">
      <c r="A39"/>
      <c r="B39" s="3"/>
      <c r="C39" s="170" t="s">
        <v>223</v>
      </c>
      <c r="D39" s="4" t="s">
        <v>6</v>
      </c>
      <c r="E39" s="9">
        <v>0.25</v>
      </c>
      <c r="F39" s="16">
        <f>IFERROR(F$37*E39,"")</f>
        <v>0</v>
      </c>
      <c r="G39" s="1"/>
    </row>
    <row r="40" spans="1:10" s="43" customFormat="1" hidden="1" outlineLevel="1">
      <c r="A40"/>
      <c r="B40" s="3"/>
      <c r="C40" s="199" t="str">
        <f>IF(AND($E$26="", $E$27=""), "", IF($E$26&lt;&gt;"", $E$26, $E$27))</f>
        <v/>
      </c>
      <c r="D40"/>
      <c r="E40" s="113"/>
      <c r="F40" s="17">
        <f>IF(E40="",0, E40)</f>
        <v>0</v>
      </c>
      <c r="G40" s="1"/>
    </row>
    <row r="41" spans="1:10" s="43" customFormat="1" hidden="1" outlineLevel="1">
      <c r="A41"/>
      <c r="B41" s="3"/>
      <c r="C41" s="200" t="s">
        <v>213</v>
      </c>
      <c r="D41" s="15"/>
      <c r="E41" s="113"/>
      <c r="F41" s="17">
        <f>IF(E41="",0, E41)</f>
        <v>0</v>
      </c>
      <c r="G41" s="1"/>
    </row>
    <row r="42" spans="1:10" s="43" customFormat="1" hidden="1" outlineLevel="1">
      <c r="A42"/>
      <c r="B42" s="3"/>
      <c r="C42" s="201" t="s">
        <v>215</v>
      </c>
      <c r="D42" s="12"/>
      <c r="E42"/>
      <c r="F42"/>
      <c r="G42" s="1"/>
    </row>
    <row r="43" spans="1:10" s="43" customFormat="1" collapsed="1">
      <c r="A43"/>
      <c r="B43" s="109" t="s">
        <v>9</v>
      </c>
      <c r="C43" s="110"/>
      <c r="D43" s="111"/>
      <c r="E43" s="127"/>
      <c r="F43" s="125">
        <f>IFERROR(F$37+F$39,"")</f>
        <v>0</v>
      </c>
      <c r="G43" s="112"/>
    </row>
    <row r="44" spans="1:10" s="43" customFormat="1" ht="6" customHeight="1">
      <c r="A44"/>
      <c r="B44" s="5"/>
      <c r="C44"/>
      <c r="D44"/>
      <c r="E44"/>
      <c r="F44"/>
      <c r="G44" s="1"/>
    </row>
    <row r="45" spans="1:10" s="43" customFormat="1">
      <c r="A45"/>
      <c r="B45" s="5" t="s">
        <v>10</v>
      </c>
      <c r="C45"/>
      <c r="D45"/>
      <c r="E45"/>
      <c r="F45"/>
      <c r="G45" s="1"/>
    </row>
    <row r="46" spans="1:10" s="43" customFormat="1" ht="8.1" customHeight="1">
      <c r="A46"/>
      <c r="B46" s="3"/>
      <c r="C46"/>
      <c r="D46"/>
      <c r="E46" s="18"/>
      <c r="F46" s="173"/>
      <c r="G46" s="1"/>
    </row>
    <row r="47" spans="1:10">
      <c r="B47" s="3"/>
      <c r="C47" t="s">
        <v>13</v>
      </c>
      <c r="D47" s="4" t="s">
        <v>8</v>
      </c>
      <c r="E47" s="171">
        <f>IFERROR(VLOOKUP($E20, Lookup_SuperRate, 4, FALSE),"")</f>
        <v>0.11</v>
      </c>
      <c r="F47" s="174">
        <f>IFERROR(F$43*E47,"")</f>
        <v>0</v>
      </c>
      <c r="G47" s="1"/>
      <c r="I47"/>
      <c r="J47"/>
    </row>
    <row r="48" spans="1:10">
      <c r="B48" s="3"/>
      <c r="C48" s="124" t="s">
        <v>224</v>
      </c>
      <c r="D48" s="11"/>
      <c r="E48" s="14"/>
      <c r="F48" s="173"/>
      <c r="G48" s="1"/>
      <c r="I48"/>
      <c r="J48"/>
    </row>
    <row r="49" spans="2:10" ht="8.1" customHeight="1">
      <c r="B49" s="3"/>
      <c r="E49" s="19"/>
      <c r="F49" s="173"/>
      <c r="G49" s="1"/>
      <c r="I49"/>
      <c r="J49"/>
    </row>
    <row r="50" spans="2:10">
      <c r="B50" s="3"/>
      <c r="C50" t="s">
        <v>15</v>
      </c>
      <c r="D50" s="15" t="s">
        <v>55</v>
      </c>
      <c r="E50" s="20">
        <v>4.9500000000000002E-2</v>
      </c>
      <c r="F50" s="174">
        <f>IFERROR((F$43+F$47)*E50,"")</f>
        <v>0</v>
      </c>
      <c r="G50" s="1"/>
      <c r="I50"/>
      <c r="J50"/>
    </row>
    <row r="51" spans="2:10" ht="12.75" customHeight="1">
      <c r="B51" s="3"/>
      <c r="C51" s="124" t="s">
        <v>17</v>
      </c>
      <c r="D51" s="21"/>
      <c r="F51" s="173"/>
      <c r="G51" s="1"/>
      <c r="I51"/>
      <c r="J51"/>
    </row>
    <row r="52" spans="2:10" ht="8.1" customHeight="1">
      <c r="B52" s="3"/>
      <c r="C52" s="124"/>
      <c r="F52" s="173"/>
      <c r="G52" s="1"/>
      <c r="I52"/>
      <c r="J52"/>
    </row>
    <row r="53" spans="2:10">
      <c r="B53" s="3"/>
      <c r="C53" t="s">
        <v>18</v>
      </c>
      <c r="D53" s="4" t="s">
        <v>14</v>
      </c>
      <c r="E53" s="22">
        <v>5.0000000000000001E-3</v>
      </c>
      <c r="F53" s="174">
        <f>IFERROR((F$43+F47)*E53,"")</f>
        <v>0</v>
      </c>
      <c r="G53" s="1"/>
      <c r="I53"/>
      <c r="J53"/>
    </row>
    <row r="54" spans="2:10">
      <c r="B54" s="3"/>
      <c r="C54" s="124" t="s">
        <v>254</v>
      </c>
      <c r="D54" s="21"/>
      <c r="F54" s="173"/>
      <c r="G54" s="1"/>
      <c r="I54"/>
      <c r="J54"/>
    </row>
    <row r="55" spans="2:10" ht="8.1" customHeight="1">
      <c r="B55" s="3"/>
      <c r="F55" s="173"/>
      <c r="G55" s="1"/>
      <c r="I55"/>
      <c r="J55"/>
    </row>
    <row r="56" spans="2:10">
      <c r="B56" s="3"/>
      <c r="C56" s="23" t="s">
        <v>20</v>
      </c>
      <c r="D56" s="23"/>
      <c r="E56" s="24"/>
      <c r="F56" s="175">
        <f>SUM(F$47,F$50,F$53)</f>
        <v>0</v>
      </c>
      <c r="G56" s="1"/>
      <c r="I56"/>
      <c r="J56"/>
    </row>
    <row r="57" spans="2:10" ht="10.5" customHeight="1" thickBot="1">
      <c r="B57" s="3"/>
      <c r="E57" s="14"/>
      <c r="F57" s="176"/>
      <c r="G57" s="1"/>
      <c r="I57"/>
      <c r="J57"/>
    </row>
    <row r="58" spans="2:10" ht="14.25" thickTop="1" thickBot="1">
      <c r="B58" s="109" t="s">
        <v>21</v>
      </c>
      <c r="C58" s="110"/>
      <c r="D58" s="110"/>
      <c r="E58" s="110"/>
      <c r="F58" s="177">
        <f>IFERROR(F$43+F$56,"")</f>
        <v>0</v>
      </c>
      <c r="G58" s="112"/>
      <c r="I58"/>
      <c r="J58"/>
    </row>
    <row r="59" spans="2:10" ht="6" customHeight="1" thickBot="1">
      <c r="B59" s="26"/>
      <c r="C59" s="27"/>
      <c r="D59" s="27"/>
      <c r="E59" s="27"/>
      <c r="F59" s="27"/>
      <c r="G59" s="28"/>
      <c r="I59"/>
      <c r="J59"/>
    </row>
    <row r="61" spans="2:10" s="183" customFormat="1">
      <c r="F61" s="193"/>
      <c r="I61" s="184"/>
      <c r="J61" s="184"/>
    </row>
    <row r="62" spans="2:10">
      <c r="F62" s="173"/>
    </row>
    <row r="63" spans="2:10">
      <c r="F63" s="194"/>
    </row>
    <row r="64" spans="2:10">
      <c r="B64" s="29"/>
    </row>
    <row r="66" spans="6:7">
      <c r="F66" s="183"/>
      <c r="G66" s="183"/>
    </row>
    <row r="67" spans="6:7">
      <c r="F67" s="183"/>
      <c r="G67" s="183"/>
    </row>
  </sheetData>
  <sheetProtection algorithmName="SHA-512" hashValue="1CKym0AD6+KdEkYVs4rGZ17fhSlCZp0LN1ZlbzcOD/+29hQhuOhHIS4mHOdfs9kbbUSYaNXoe8yhmVGzE2JjeQ==" saltValue="xg7MWOpJfT4DqvZHUU0fdg==" spinCount="100000" sheet="1" objects="1" scenarios="1"/>
  <mergeCells count="4">
    <mergeCell ref="B8:G8"/>
    <mergeCell ref="B9:G9"/>
    <mergeCell ref="B11:G11"/>
    <mergeCell ref="B12:G12"/>
  </mergeCells>
  <conditionalFormatting sqref="E20">
    <cfRule type="cellIs" dxfId="20" priority="22" operator="equal">
      <formula>""</formula>
    </cfRule>
  </conditionalFormatting>
  <conditionalFormatting sqref="E21 E24">
    <cfRule type="cellIs" dxfId="19" priority="21" operator="equal">
      <formula>""</formula>
    </cfRule>
  </conditionalFormatting>
  <conditionalFormatting sqref="E23">
    <cfRule type="cellIs" dxfId="18" priority="20" operator="equal">
      <formula>""</formula>
    </cfRule>
  </conditionalFormatting>
  <conditionalFormatting sqref="E22">
    <cfRule type="cellIs" dxfId="17" priority="19" operator="equal">
      <formula>""</formula>
    </cfRule>
  </conditionalFormatting>
  <conditionalFormatting sqref="E28">
    <cfRule type="cellIs" dxfId="16" priority="8" operator="notEqual">
      <formula>""</formula>
    </cfRule>
    <cfRule type="expression" dxfId="15" priority="18">
      <formula>$E$21="agreed Salary"</formula>
    </cfRule>
  </conditionalFormatting>
  <conditionalFormatting sqref="C28">
    <cfRule type="expression" dxfId="14" priority="17">
      <formula>$E$21="Agreed Salary"</formula>
    </cfRule>
  </conditionalFormatting>
  <conditionalFormatting sqref="C26">
    <cfRule type="expression" dxfId="13" priority="16">
      <formula>$E$22="Academic"</formula>
    </cfRule>
  </conditionalFormatting>
  <conditionalFormatting sqref="E26">
    <cfRule type="cellIs" dxfId="12" priority="11" operator="notEqual">
      <formula>""</formula>
    </cfRule>
    <cfRule type="expression" dxfId="11" priority="15">
      <formula>$E$22="Academic"</formula>
    </cfRule>
  </conditionalFormatting>
  <conditionalFormatting sqref="C27">
    <cfRule type="expression" dxfId="10" priority="14">
      <formula>$E$22="English Language Teacher"</formula>
    </cfRule>
  </conditionalFormatting>
  <conditionalFormatting sqref="E27">
    <cfRule type="cellIs" dxfId="9" priority="12" operator="notEqual">
      <formula>""</formula>
    </cfRule>
    <cfRule type="expression" dxfId="8" priority="13">
      <formula>$E$22="english Language teacher"</formula>
    </cfRule>
  </conditionalFormatting>
  <conditionalFormatting sqref="C24">
    <cfRule type="expression" dxfId="7" priority="5">
      <formula>$E$22="Senior Manager"</formula>
    </cfRule>
  </conditionalFormatting>
  <conditionalFormatting sqref="E24">
    <cfRule type="expression" dxfId="6" priority="4">
      <formula>$E$22="Senior Manager"</formula>
    </cfRule>
  </conditionalFormatting>
  <conditionalFormatting sqref="C22:C24">
    <cfRule type="expression" dxfId="5" priority="10">
      <formula>$E$21="Agreed Salary"</formula>
    </cfRule>
  </conditionalFormatting>
  <conditionalFormatting sqref="E22:E24">
    <cfRule type="expression" dxfId="4" priority="9">
      <formula>$E$21="Agreed Salary"</formula>
    </cfRule>
  </conditionalFormatting>
  <conditionalFormatting sqref="E41">
    <cfRule type="cellIs" dxfId="3" priority="6" operator="equal">
      <formula>""</formula>
    </cfRule>
  </conditionalFormatting>
  <conditionalFormatting sqref="F37">
    <cfRule type="cellIs" dxfId="2" priority="3" operator="equal">
      <formula>""</formula>
    </cfRule>
  </conditionalFormatting>
  <conditionalFormatting sqref="E40">
    <cfRule type="cellIs" dxfId="1" priority="2" operator="equal">
      <formula>""</formula>
    </cfRule>
  </conditionalFormatting>
  <conditionalFormatting sqref="E29">
    <cfRule type="cellIs" dxfId="0" priority="1" operator="equal">
      <formula>""</formula>
    </cfRule>
  </conditionalFormatting>
  <dataValidations count="4">
    <dataValidation type="decimal" allowBlank="1" showInputMessage="1" showErrorMessage="1" error="FTE should be between 0 and _x000a_1." sqref="E29" xr:uid="{00000000-0002-0000-0100-000000000000}">
      <formula1>0.001</formula1>
      <formula2>1</formula2>
    </dataValidation>
    <dataValidation type="list" allowBlank="1" showInputMessage="1" showErrorMessage="1" sqref="E21" xr:uid="{00000000-0002-0000-0100-000001000000}">
      <formula1>DropDown_Cat</formula1>
    </dataValidation>
    <dataValidation type="list" allowBlank="1" showInputMessage="1" showErrorMessage="1" sqref="E23" xr:uid="{00000000-0002-0000-0100-000002000000}">
      <formula1>IF($E$2="ACA", List_ACA,IF($E$2="HEO", List_HEO, IF($E$2="SNR", List_Snr, IF($E$2="ELT", List_ELT, IF($E$2="STF", List_STF,"")))))</formula1>
    </dataValidation>
    <dataValidation type="list" allowBlank="1" showInputMessage="1" showErrorMessage="1" sqref="E24" xr:uid="{00000000-0002-0000-0100-000003000000}">
      <formula1>INDIRECT(SUBSTITUTE($E$3," ","_"))</formula1>
    </dataValidation>
  </dataValidations>
  <printOptions horizontalCentered="1"/>
  <pageMargins left="0.15748031496062992" right="0.15748031496062992" top="0.39370078740157483" bottom="0.39370078740157483" header="0.11811023622047245" footer="0.11811023622047245"/>
  <pageSetup scale="7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IF($E$21="Academic", BE_Lookup!$I$4:$I$5, IF($E$21="Professional", BE_Lookup!$J$4:$J$6, ""))</xm:f>
          </x14:formula1>
          <xm:sqref>E22</xm:sqref>
        </x14:dataValidation>
        <x14:dataValidation type="list" allowBlank="1" showInputMessage="1" showErrorMessage="1" xr:uid="{00000000-0002-0000-0100-000005000000}">
          <x14:formula1>
            <xm:f>IF($E$22="English Language Teacher", 'BE_Salary Plan'!$F$111:$F$113)</xm:f>
          </x14:formula1>
          <xm:sqref>E27</xm:sqref>
        </x14:dataValidation>
        <x14:dataValidation type="list" allowBlank="1" showInputMessage="1" showErrorMessage="1" xr:uid="{00000000-0002-0000-0100-000006000000}">
          <x14:formula1>
            <xm:f>IF($E$22="Academic", 'BE_Salary Plan'!$F$31:$F$34)</xm:f>
          </x14:formula1>
          <xm:sqref>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V73"/>
  <sheetViews>
    <sheetView zoomScale="130" zoomScaleNormal="130" workbookViewId="0">
      <selection activeCell="E43" sqref="E43"/>
    </sheetView>
  </sheetViews>
  <sheetFormatPr defaultRowHeight="12.75"/>
  <cols>
    <col min="1" max="1" width="1.7109375" customWidth="1"/>
    <col min="2" max="2" width="26.28515625" customWidth="1"/>
    <col min="3" max="3" width="3.85546875" style="30" customWidth="1"/>
    <col min="4" max="4" width="15.42578125" customWidth="1"/>
    <col min="5" max="5" width="14.42578125" style="32" customWidth="1"/>
    <col min="14" max="14" width="11.7109375" bestFit="1" customWidth="1"/>
    <col min="15" max="15" width="15.140625" customWidth="1"/>
    <col min="16" max="16" width="3.7109375" customWidth="1"/>
  </cols>
  <sheetData>
    <row r="1" spans="2:20" ht="13.5" thickBot="1">
      <c r="D1" s="31" t="s">
        <v>23</v>
      </c>
    </row>
    <row r="2" spans="2:20" ht="16.5" thickBot="1">
      <c r="B2" s="33" t="s">
        <v>24</v>
      </c>
      <c r="C2" s="34"/>
      <c r="D2" s="35" t="s">
        <v>222</v>
      </c>
    </row>
    <row r="3" spans="2:20" ht="4.7" customHeight="1"/>
    <row r="4" spans="2:20">
      <c r="B4" t="s">
        <v>236</v>
      </c>
      <c r="C4" s="30" t="s">
        <v>209</v>
      </c>
      <c r="D4" s="36">
        <v>128731</v>
      </c>
      <c r="E4" s="32" t="s">
        <v>25</v>
      </c>
    </row>
    <row r="5" spans="2:20" ht="9.75" customHeight="1">
      <c r="E5" s="32" t="s">
        <v>26</v>
      </c>
    </row>
    <row r="6" spans="2:20" ht="9" customHeight="1">
      <c r="E6"/>
    </row>
    <row r="7" spans="2:20" hidden="1">
      <c r="B7" s="231" t="s">
        <v>27</v>
      </c>
      <c r="C7" s="232" t="s">
        <v>28</v>
      </c>
      <c r="D7" s="233">
        <f>D4*1.02</f>
        <v>131305.62</v>
      </c>
      <c r="E7" s="234" t="s">
        <v>50</v>
      </c>
      <c r="F7" s="231"/>
      <c r="G7" s="231"/>
      <c r="H7" s="190"/>
      <c r="I7" s="190"/>
      <c r="J7" s="41"/>
      <c r="L7" s="41"/>
    </row>
    <row r="8" spans="2:20" ht="10.5" hidden="1" customHeight="1">
      <c r="B8" s="231"/>
      <c r="C8" s="232"/>
      <c r="D8" s="231"/>
      <c r="E8" s="235" t="s">
        <v>53</v>
      </c>
      <c r="F8" s="231"/>
      <c r="G8" s="231"/>
      <c r="H8" s="190"/>
      <c r="I8" s="190"/>
      <c r="J8" s="41"/>
    </row>
    <row r="9" spans="2:20" ht="9.75" hidden="1" customHeight="1">
      <c r="B9" s="231"/>
      <c r="C9" s="232"/>
      <c r="D9" s="231"/>
      <c r="E9" s="235"/>
      <c r="F9" s="231"/>
      <c r="G9" s="231"/>
      <c r="H9" s="190"/>
      <c r="I9" s="190"/>
      <c r="J9" s="41"/>
    </row>
    <row r="10" spans="2:20" hidden="1">
      <c r="B10" s="231" t="s">
        <v>29</v>
      </c>
      <c r="C10" s="232" t="s">
        <v>30</v>
      </c>
      <c r="D10" s="236">
        <f>D4*48/52</f>
        <v>118828.61538461539</v>
      </c>
      <c r="E10" s="234" t="s">
        <v>31</v>
      </c>
      <c r="F10" s="231"/>
      <c r="G10" s="231"/>
      <c r="H10" s="190"/>
      <c r="I10" s="190"/>
      <c r="J10" s="41"/>
    </row>
    <row r="11" spans="2:20" ht="9.75" hidden="1" customHeight="1">
      <c r="B11" s="231"/>
      <c r="C11" s="232"/>
      <c r="D11" s="231"/>
      <c r="E11" s="235" t="s">
        <v>32</v>
      </c>
      <c r="F11" s="231"/>
      <c r="G11" s="231"/>
      <c r="H11" s="190"/>
      <c r="I11" s="190"/>
      <c r="J11" s="41"/>
    </row>
    <row r="12" spans="2:20" ht="11.25" hidden="1" customHeight="1"/>
    <row r="13" spans="2:20" ht="11.25" hidden="1" customHeight="1"/>
    <row r="14" spans="2:20">
      <c r="B14" t="s">
        <v>7</v>
      </c>
      <c r="C14" s="30" t="s">
        <v>210</v>
      </c>
      <c r="D14" s="187">
        <f>IF(D$4&gt;AnnualLeaveLoadingCap, AnnualLeaveLoadingCap*1.35%, D$4*1.35%)</f>
        <v>1672.3935000000001</v>
      </c>
      <c r="E14" s="37" t="s">
        <v>240</v>
      </c>
      <c r="Q14" s="41"/>
      <c r="T14" s="41"/>
    </row>
    <row r="15" spans="2:20">
      <c r="D15" s="187"/>
      <c r="E15" s="185" t="s">
        <v>229</v>
      </c>
      <c r="Q15" s="41"/>
      <c r="T15" s="41"/>
    </row>
    <row r="16" spans="2:20">
      <c r="D16" s="187"/>
      <c r="E16" s="185" t="s">
        <v>230</v>
      </c>
      <c r="Q16" s="41"/>
      <c r="T16" s="41"/>
    </row>
    <row r="17" spans="2:22">
      <c r="D17" s="36"/>
      <c r="E17" s="32" t="s">
        <v>33</v>
      </c>
      <c r="Q17" s="41"/>
      <c r="V17" s="41"/>
    </row>
    <row r="18" spans="2:22" ht="10.5" customHeight="1"/>
    <row r="19" spans="2:22">
      <c r="B19" s="219" t="s">
        <v>216</v>
      </c>
      <c r="C19" s="220" t="s">
        <v>8</v>
      </c>
      <c r="D19" s="219"/>
      <c r="E19" s="185" t="s">
        <v>239</v>
      </c>
    </row>
    <row r="20" spans="2:22" ht="13.5" thickBot="1">
      <c r="E20" s="185" t="s">
        <v>233</v>
      </c>
    </row>
    <row r="21" spans="2:22" ht="16.5" thickBot="1">
      <c r="B21" s="33" t="s">
        <v>34</v>
      </c>
      <c r="C21" s="34"/>
      <c r="E21" s="42"/>
    </row>
    <row r="22" spans="2:22" ht="4.7" customHeight="1"/>
    <row r="23" spans="2:22" hidden="1">
      <c r="B23" s="231" t="s">
        <v>35</v>
      </c>
      <c r="C23" s="232"/>
      <c r="D23" s="236">
        <f>D4*0.1143</f>
        <v>14713.953299999999</v>
      </c>
      <c r="E23" s="234" t="s">
        <v>59</v>
      </c>
      <c r="F23" s="18"/>
    </row>
    <row r="24" spans="2:22" ht="9.75" hidden="1" customHeight="1">
      <c r="B24" s="231"/>
      <c r="C24" s="232"/>
      <c r="D24" s="231"/>
      <c r="E24" s="235" t="s">
        <v>56</v>
      </c>
      <c r="Q24" s="41"/>
    </row>
    <row r="25" spans="2:22" ht="10.5" hidden="1" customHeight="1">
      <c r="B25" s="231"/>
      <c r="C25" s="232"/>
      <c r="D25" s="231"/>
      <c r="E25" s="235" t="s">
        <v>57</v>
      </c>
    </row>
    <row r="26" spans="2:22" ht="10.5" hidden="1" customHeight="1">
      <c r="B26" s="231"/>
      <c r="C26" s="232"/>
      <c r="D26" s="231"/>
      <c r="E26" s="235" t="s">
        <v>58</v>
      </c>
      <c r="Q26" s="41"/>
    </row>
    <row r="27" spans="2:22" ht="10.5" hidden="1" customHeight="1">
      <c r="B27" s="231"/>
      <c r="C27" s="232"/>
      <c r="D27" s="231"/>
      <c r="E27" s="235" t="s">
        <v>36</v>
      </c>
    </row>
    <row r="28" spans="2:22" ht="10.5" hidden="1" customHeight="1">
      <c r="B28" s="231"/>
      <c r="C28" s="232"/>
      <c r="D28" s="231"/>
      <c r="E28" s="235" t="s">
        <v>37</v>
      </c>
      <c r="R28" s="41"/>
    </row>
    <row r="29" spans="2:22" ht="9.75" hidden="1" customHeight="1">
      <c r="B29" s="231"/>
      <c r="C29" s="232"/>
      <c r="D29" s="231"/>
      <c r="E29" s="235" t="s">
        <v>38</v>
      </c>
    </row>
    <row r="30" spans="2:22" ht="8.4499999999999993" hidden="1" customHeight="1">
      <c r="E30"/>
    </row>
    <row r="31" spans="2:22">
      <c r="B31" t="s">
        <v>11</v>
      </c>
      <c r="C31" s="30" t="s">
        <v>55</v>
      </c>
      <c r="D31" s="188">
        <f>D10*0.0325</f>
        <v>3861.9300000000003</v>
      </c>
      <c r="E31" s="224" t="s">
        <v>225</v>
      </c>
    </row>
    <row r="32" spans="2:22" ht="10.5" customHeight="1">
      <c r="E32" s="32" t="s">
        <v>51</v>
      </c>
      <c r="M32" s="41"/>
    </row>
    <row r="33" spans="2:17" ht="10.5" hidden="1" customHeight="1">
      <c r="E33" s="235" t="s">
        <v>52</v>
      </c>
    </row>
    <row r="34" spans="2:17" ht="10.5" customHeight="1">
      <c r="E34" s="32" t="s">
        <v>226</v>
      </c>
    </row>
    <row r="35" spans="2:17">
      <c r="E35"/>
    </row>
    <row r="36" spans="2:17">
      <c r="B36" t="s">
        <v>13</v>
      </c>
      <c r="C36" s="30" t="s">
        <v>14</v>
      </c>
      <c r="D36" s="188">
        <f>SUM(D4,D14,D19)*17%</f>
        <v>22168.576895000002</v>
      </c>
      <c r="E36" s="224" t="s">
        <v>234</v>
      </c>
      <c r="N36" s="20"/>
      <c r="O36" s="226"/>
    </row>
    <row r="37" spans="2:17" ht="10.5" customHeight="1">
      <c r="E37" s="32" t="s">
        <v>245</v>
      </c>
      <c r="N37" s="225"/>
    </row>
    <row r="38" spans="2:17" ht="10.5" customHeight="1">
      <c r="E38" s="32" t="s">
        <v>246</v>
      </c>
    </row>
    <row r="39" spans="2:17" ht="10.5" customHeight="1">
      <c r="E39" s="32" t="s">
        <v>39</v>
      </c>
    </row>
    <row r="40" spans="2:17" ht="11.25" customHeight="1">
      <c r="E40" s="32" t="s">
        <v>247</v>
      </c>
    </row>
    <row r="41" spans="2:17" ht="11.25" customHeight="1">
      <c r="E41" s="32" t="s">
        <v>54</v>
      </c>
      <c r="Q41" s="41"/>
    </row>
    <row r="42" spans="2:17" ht="11.25" customHeight="1">
      <c r="E42" s="185" t="s">
        <v>248</v>
      </c>
    </row>
    <row r="44" spans="2:17">
      <c r="B44" t="s">
        <v>15</v>
      </c>
      <c r="C44" s="30" t="s">
        <v>217</v>
      </c>
      <c r="D44" s="42">
        <f>(D4+D36+D14)*0.0495</f>
        <v>7552.3125345525013</v>
      </c>
      <c r="E44" s="224" t="s">
        <v>227</v>
      </c>
    </row>
    <row r="45" spans="2:17" ht="11.25" customHeight="1">
      <c r="E45" s="32" t="s">
        <v>237</v>
      </c>
    </row>
    <row r="46" spans="2:17" ht="11.25" customHeight="1">
      <c r="E46" s="32" t="s">
        <v>40</v>
      </c>
    </row>
    <row r="47" spans="2:17" ht="14.25" customHeight="1">
      <c r="E47"/>
    </row>
    <row r="48" spans="2:17">
      <c r="B48" t="s">
        <v>18</v>
      </c>
      <c r="C48" s="30" t="s">
        <v>218</v>
      </c>
      <c r="D48" s="188">
        <f>(D4+D14)*0.005</f>
        <v>652.01696750000008</v>
      </c>
      <c r="E48" s="224" t="s">
        <v>228</v>
      </c>
    </row>
    <row r="49" spans="2:17" ht="9.75" customHeight="1">
      <c r="E49" s="32" t="s">
        <v>41</v>
      </c>
    </row>
    <row r="50" spans="2:17" ht="9.75" customHeight="1">
      <c r="E50" s="32" t="s">
        <v>238</v>
      </c>
    </row>
    <row r="51" spans="2:17" ht="9.75" customHeight="1">
      <c r="E51" s="32" t="s">
        <v>42</v>
      </c>
    </row>
    <row r="52" spans="2:17">
      <c r="E52"/>
    </row>
    <row r="53" spans="2:17" ht="13.5" thickBot="1">
      <c r="B53" t="s">
        <v>43</v>
      </c>
      <c r="D53" s="189">
        <f>+D48+D44+D36+D31+D14+D4</f>
        <v>164638.22989705252</v>
      </c>
      <c r="E53" s="37" t="s">
        <v>211</v>
      </c>
      <c r="Q53" s="41"/>
    </row>
    <row r="54" spans="2:17">
      <c r="E54"/>
    </row>
    <row r="55" spans="2:17">
      <c r="B55" s="38" t="s">
        <v>44</v>
      </c>
    </row>
    <row r="56" spans="2:17">
      <c r="B56" s="32" t="s">
        <v>45</v>
      </c>
    </row>
    <row r="57" spans="2:17">
      <c r="B57" s="32" t="s">
        <v>47</v>
      </c>
    </row>
    <row r="58" spans="2:17">
      <c r="B58" s="32" t="s">
        <v>48</v>
      </c>
    </row>
    <row r="59" spans="2:17">
      <c r="B59" s="32" t="s">
        <v>49</v>
      </c>
    </row>
    <row r="60" spans="2:17" hidden="1">
      <c r="B60" s="235" t="s">
        <v>46</v>
      </c>
    </row>
    <row r="72" spans="2:2">
      <c r="B72" s="39"/>
    </row>
    <row r="73" spans="2:2">
      <c r="B73" s="40"/>
    </row>
  </sheetData>
  <sheetProtection password="A58F" sheet="1" objects="1" scenarios="1"/>
  <pageMargins left="0" right="0" top="0.39370078740157483" bottom="0.39370078740157483" header="0.31496062992125984" footer="0.31496062992125984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Q126"/>
  <sheetViews>
    <sheetView showGridLines="0" topLeftCell="B28" zoomScale="85" zoomScaleNormal="85" workbookViewId="0">
      <selection activeCell="B75" sqref="A75:XFD75"/>
    </sheetView>
  </sheetViews>
  <sheetFormatPr defaultColWidth="24.28515625" defaultRowHeight="12.75"/>
  <cols>
    <col min="2" max="2" width="37.140625" bestFit="1" customWidth="1"/>
    <col min="3" max="6" width="12.42578125" customWidth="1"/>
    <col min="7" max="12" width="15" customWidth="1"/>
    <col min="13" max="13" width="14.28515625" customWidth="1"/>
    <col min="14" max="17" width="15" customWidth="1"/>
  </cols>
  <sheetData>
    <row r="1" spans="1:17" s="56" customFormat="1">
      <c r="B1" s="150" t="s">
        <v>202</v>
      </c>
      <c r="C1" s="49"/>
      <c r="D1" s="49"/>
      <c r="E1" s="49"/>
      <c r="F1" s="49"/>
      <c r="G1" s="57">
        <v>2017</v>
      </c>
      <c r="H1" s="57">
        <v>2018</v>
      </c>
      <c r="I1" s="57">
        <v>2019</v>
      </c>
      <c r="J1" s="57">
        <v>2020</v>
      </c>
      <c r="K1" s="57">
        <v>2021</v>
      </c>
      <c r="L1" s="57">
        <v>2022</v>
      </c>
      <c r="M1" s="57">
        <v>2023</v>
      </c>
      <c r="N1" s="57">
        <v>2024</v>
      </c>
      <c r="O1" s="57">
        <v>2025</v>
      </c>
      <c r="P1" s="57">
        <v>2026</v>
      </c>
      <c r="Q1" s="57">
        <v>2027</v>
      </c>
    </row>
    <row r="2" spans="1:17" s="85" customFormat="1"/>
    <row r="3" spans="1:17">
      <c r="B3" s="46">
        <v>1</v>
      </c>
      <c r="C3" s="46">
        <v>2</v>
      </c>
      <c r="D3" s="46">
        <v>3</v>
      </c>
      <c r="E3" s="46">
        <v>4</v>
      </c>
      <c r="F3" s="46">
        <v>5</v>
      </c>
      <c r="G3" s="46">
        <v>6</v>
      </c>
      <c r="H3" s="46">
        <v>7</v>
      </c>
      <c r="I3" s="46">
        <v>8</v>
      </c>
      <c r="J3" s="46">
        <v>9</v>
      </c>
      <c r="K3" s="46">
        <v>10</v>
      </c>
      <c r="L3" s="46">
        <v>11</v>
      </c>
      <c r="M3" s="46">
        <v>12</v>
      </c>
      <c r="N3" s="46"/>
      <c r="O3" s="46"/>
      <c r="P3" s="46"/>
      <c r="Q3" s="46"/>
    </row>
    <row r="4" spans="1:17">
      <c r="B4" s="47"/>
      <c r="C4" s="48"/>
      <c r="D4" s="48"/>
      <c r="E4" s="48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02.75" thickBot="1">
      <c r="B5" s="144" t="s">
        <v>61</v>
      </c>
      <c r="C5" s="145" t="s">
        <v>62</v>
      </c>
      <c r="D5" s="145" t="s">
        <v>63</v>
      </c>
      <c r="E5" s="145" t="s">
        <v>64</v>
      </c>
      <c r="F5" s="154" t="s">
        <v>65</v>
      </c>
      <c r="G5" s="146" t="s">
        <v>66</v>
      </c>
      <c r="H5" s="146" t="s">
        <v>67</v>
      </c>
      <c r="I5" s="146" t="s">
        <v>68</v>
      </c>
      <c r="J5" s="147" t="s">
        <v>69</v>
      </c>
      <c r="K5" s="146" t="s">
        <v>70</v>
      </c>
      <c r="L5" s="147" t="s">
        <v>249</v>
      </c>
      <c r="M5" s="146" t="s">
        <v>250</v>
      </c>
      <c r="N5" s="146"/>
      <c r="O5" s="146"/>
      <c r="P5" s="146"/>
      <c r="Q5" s="151"/>
    </row>
    <row r="6" spans="1:17">
      <c r="A6" s="43"/>
      <c r="B6" s="148" t="str">
        <f>D6&amp;"_"&amp;E6&amp;"_"&amp;F6</f>
        <v>ACA_LEVEL A_1</v>
      </c>
      <c r="C6" s="51" t="s">
        <v>71</v>
      </c>
      <c r="D6" s="51" t="s">
        <v>72</v>
      </c>
      <c r="E6" s="51" t="s">
        <v>73</v>
      </c>
      <c r="F6" s="155">
        <v>1</v>
      </c>
      <c r="G6" s="52">
        <v>65894</v>
      </c>
      <c r="H6" s="52">
        <v>67894</v>
      </c>
      <c r="I6" s="52">
        <v>68912</v>
      </c>
      <c r="J6" s="53">
        <v>70346</v>
      </c>
      <c r="K6" s="52">
        <v>71401</v>
      </c>
      <c r="L6" s="53">
        <v>72829</v>
      </c>
      <c r="M6" s="52">
        <v>75888</v>
      </c>
      <c r="N6" s="52"/>
      <c r="O6" s="52"/>
      <c r="P6" s="52"/>
      <c r="Q6" s="152"/>
    </row>
    <row r="7" spans="1:17">
      <c r="A7" s="43"/>
      <c r="B7" s="149" t="str">
        <f t="shared" ref="B7:B70" si="0">D7&amp;"_"&amp;E7&amp;"_"&amp;F7</f>
        <v>ACA_LEVEL A_2</v>
      </c>
      <c r="C7" s="48" t="s">
        <v>71</v>
      </c>
      <c r="D7" s="48" t="s">
        <v>72</v>
      </c>
      <c r="E7" s="48" t="s">
        <v>73</v>
      </c>
      <c r="F7" s="156">
        <v>2</v>
      </c>
      <c r="G7" s="54">
        <v>69662</v>
      </c>
      <c r="H7" s="54">
        <v>71662</v>
      </c>
      <c r="I7" s="54">
        <v>72737</v>
      </c>
      <c r="J7" s="55">
        <v>74228</v>
      </c>
      <c r="K7" s="54">
        <v>75341</v>
      </c>
      <c r="L7" s="55">
        <v>76848</v>
      </c>
      <c r="M7" s="54">
        <v>80076</v>
      </c>
      <c r="N7" s="54"/>
      <c r="O7" s="54"/>
      <c r="P7" s="54"/>
      <c r="Q7" s="153"/>
    </row>
    <row r="8" spans="1:17">
      <c r="A8" s="43"/>
      <c r="B8" s="149" t="str">
        <f t="shared" si="0"/>
        <v>ACA_LEVEL A_3</v>
      </c>
      <c r="C8" s="48" t="s">
        <v>71</v>
      </c>
      <c r="D8" s="48" t="s">
        <v>72</v>
      </c>
      <c r="E8" s="48" t="s">
        <v>73</v>
      </c>
      <c r="F8" s="156">
        <v>3</v>
      </c>
      <c r="G8" s="54">
        <v>73423</v>
      </c>
      <c r="H8" s="54">
        <v>75423</v>
      </c>
      <c r="I8" s="54">
        <v>76554</v>
      </c>
      <c r="J8" s="55">
        <v>78102</v>
      </c>
      <c r="K8" s="54">
        <v>79274</v>
      </c>
      <c r="L8" s="55">
        <v>80859</v>
      </c>
      <c r="M8" s="54">
        <v>84255</v>
      </c>
      <c r="N8" s="54"/>
      <c r="O8" s="54"/>
      <c r="P8" s="54"/>
      <c r="Q8" s="153"/>
    </row>
    <row r="9" spans="1:17">
      <c r="A9" s="43"/>
      <c r="B9" s="149" t="str">
        <f t="shared" si="0"/>
        <v>ACA_LEVEL A_4</v>
      </c>
      <c r="C9" s="48" t="s">
        <v>71</v>
      </c>
      <c r="D9" s="48" t="s">
        <v>72</v>
      </c>
      <c r="E9" s="48" t="s">
        <v>73</v>
      </c>
      <c r="F9" s="156">
        <v>4</v>
      </c>
      <c r="G9" s="54">
        <v>77187</v>
      </c>
      <c r="H9" s="54">
        <v>79187</v>
      </c>
      <c r="I9" s="54">
        <v>80375</v>
      </c>
      <c r="J9" s="55">
        <v>81981</v>
      </c>
      <c r="K9" s="54">
        <v>83211</v>
      </c>
      <c r="L9" s="55">
        <v>84875</v>
      </c>
      <c r="M9" s="54">
        <v>88440</v>
      </c>
      <c r="N9" s="54"/>
      <c r="O9" s="54"/>
      <c r="P9" s="54"/>
      <c r="Q9" s="153"/>
    </row>
    <row r="10" spans="1:17">
      <c r="A10" s="43"/>
      <c r="B10" s="149" t="str">
        <f t="shared" si="0"/>
        <v>ACA_LEVEL A_5</v>
      </c>
      <c r="C10" s="48" t="s">
        <v>71</v>
      </c>
      <c r="D10" s="48" t="s">
        <v>72</v>
      </c>
      <c r="E10" s="48" t="s">
        <v>73</v>
      </c>
      <c r="F10" s="156">
        <v>5</v>
      </c>
      <c r="G10" s="54">
        <v>80246</v>
      </c>
      <c r="H10" s="54">
        <v>82246</v>
      </c>
      <c r="I10" s="54">
        <v>83480</v>
      </c>
      <c r="J10" s="55">
        <v>85132</v>
      </c>
      <c r="K10" s="54">
        <v>86409</v>
      </c>
      <c r="L10" s="55">
        <v>88137</v>
      </c>
      <c r="M10" s="54">
        <v>91839</v>
      </c>
      <c r="N10" s="54"/>
      <c r="O10" s="54"/>
      <c r="P10" s="54"/>
      <c r="Q10" s="153"/>
    </row>
    <row r="11" spans="1:17">
      <c r="A11" s="43"/>
      <c r="B11" s="149" t="str">
        <f t="shared" si="0"/>
        <v>ACA_LEVEL A_6</v>
      </c>
      <c r="C11" s="48" t="s">
        <v>71</v>
      </c>
      <c r="D11" s="48" t="s">
        <v>72</v>
      </c>
      <c r="E11" s="48" t="s">
        <v>73</v>
      </c>
      <c r="F11" s="156">
        <v>6</v>
      </c>
      <c r="G11" s="54">
        <v>83307</v>
      </c>
      <c r="H11" s="54">
        <v>85307</v>
      </c>
      <c r="I11" s="54">
        <v>86587</v>
      </c>
      <c r="J11" s="55">
        <v>88286</v>
      </c>
      <c r="K11" s="54">
        <v>89610</v>
      </c>
      <c r="L11" s="55">
        <v>91402</v>
      </c>
      <c r="M11" s="54">
        <v>95241</v>
      </c>
      <c r="N11" s="54"/>
      <c r="O11" s="54"/>
      <c r="P11" s="54"/>
      <c r="Q11" s="153"/>
    </row>
    <row r="12" spans="1:17">
      <c r="A12" s="43"/>
      <c r="B12" s="149" t="str">
        <f t="shared" si="0"/>
        <v>ACA_LEVEL A_7</v>
      </c>
      <c r="C12" s="48" t="s">
        <v>71</v>
      </c>
      <c r="D12" s="48" t="s">
        <v>72</v>
      </c>
      <c r="E12" s="48" t="s">
        <v>73</v>
      </c>
      <c r="F12" s="156">
        <v>7</v>
      </c>
      <c r="G12" s="54">
        <v>86368</v>
      </c>
      <c r="H12" s="54">
        <v>88368</v>
      </c>
      <c r="I12" s="54">
        <v>89694</v>
      </c>
      <c r="J12" s="55">
        <v>91439</v>
      </c>
      <c r="K12" s="54">
        <v>92811</v>
      </c>
      <c r="L12" s="55">
        <v>94667</v>
      </c>
      <c r="M12" s="54">
        <v>98643</v>
      </c>
      <c r="N12" s="54"/>
      <c r="O12" s="54"/>
      <c r="P12" s="54"/>
      <c r="Q12" s="153"/>
    </row>
    <row r="13" spans="1:17">
      <c r="A13" s="43"/>
      <c r="B13" s="157" t="str">
        <f t="shared" si="0"/>
        <v>ACA_LEVEL A_8</v>
      </c>
      <c r="C13" s="158" t="s">
        <v>71</v>
      </c>
      <c r="D13" s="158" t="s">
        <v>72</v>
      </c>
      <c r="E13" s="158" t="s">
        <v>73</v>
      </c>
      <c r="F13" s="159">
        <v>8</v>
      </c>
      <c r="G13" s="160">
        <v>89425</v>
      </c>
      <c r="H13" s="160">
        <v>91425</v>
      </c>
      <c r="I13" s="160">
        <v>92796</v>
      </c>
      <c r="J13" s="161">
        <v>94588</v>
      </c>
      <c r="K13" s="160">
        <v>96007</v>
      </c>
      <c r="L13" s="161">
        <v>97927</v>
      </c>
      <c r="M13" s="160">
        <v>102040</v>
      </c>
      <c r="N13" s="160"/>
      <c r="O13" s="160"/>
      <c r="P13" s="160"/>
      <c r="Q13" s="162"/>
    </row>
    <row r="14" spans="1:17">
      <c r="A14" s="43"/>
      <c r="B14" s="149" t="str">
        <f t="shared" si="0"/>
        <v>ACA_LEVEL B_1</v>
      </c>
      <c r="C14" s="48" t="s">
        <v>74</v>
      </c>
      <c r="D14" s="48" t="s">
        <v>72</v>
      </c>
      <c r="E14" s="48" t="s">
        <v>75</v>
      </c>
      <c r="F14" s="156">
        <v>1</v>
      </c>
      <c r="G14" s="54">
        <v>94135</v>
      </c>
      <c r="H14" s="54">
        <v>96135</v>
      </c>
      <c r="I14" s="54">
        <v>97577</v>
      </c>
      <c r="J14" s="55">
        <v>99441</v>
      </c>
      <c r="K14" s="54">
        <v>100933</v>
      </c>
      <c r="L14" s="55">
        <v>102952</v>
      </c>
      <c r="M14" s="54">
        <v>107276</v>
      </c>
      <c r="N14" s="54"/>
      <c r="O14" s="54"/>
      <c r="P14" s="54"/>
      <c r="Q14" s="153"/>
    </row>
    <row r="15" spans="1:17">
      <c r="A15" s="43"/>
      <c r="B15" s="149" t="str">
        <f t="shared" si="0"/>
        <v>ACA_LEVEL B_2</v>
      </c>
      <c r="C15" s="48" t="s">
        <v>74</v>
      </c>
      <c r="D15" s="48" t="s">
        <v>72</v>
      </c>
      <c r="E15" s="48" t="s">
        <v>75</v>
      </c>
      <c r="F15" s="156">
        <v>2</v>
      </c>
      <c r="G15" s="54">
        <v>97666</v>
      </c>
      <c r="H15" s="54">
        <v>99666</v>
      </c>
      <c r="I15" s="54">
        <v>101161</v>
      </c>
      <c r="J15" s="55">
        <v>103078</v>
      </c>
      <c r="K15" s="54">
        <v>104624</v>
      </c>
      <c r="L15" s="55">
        <v>106716</v>
      </c>
      <c r="M15" s="54">
        <v>111198</v>
      </c>
      <c r="N15" s="54"/>
      <c r="O15" s="54"/>
      <c r="P15" s="54"/>
      <c r="Q15" s="153"/>
    </row>
    <row r="16" spans="1:17">
      <c r="A16" s="43"/>
      <c r="B16" s="149" t="str">
        <f t="shared" si="0"/>
        <v>ACA_LEVEL B_3</v>
      </c>
      <c r="C16" s="48" t="s">
        <v>74</v>
      </c>
      <c r="D16" s="48" t="s">
        <v>72</v>
      </c>
      <c r="E16" s="48" t="s">
        <v>75</v>
      </c>
      <c r="F16" s="156">
        <v>3</v>
      </c>
      <c r="G16" s="54">
        <v>101190</v>
      </c>
      <c r="H16" s="54">
        <v>103190</v>
      </c>
      <c r="I16" s="54">
        <v>104738</v>
      </c>
      <c r="J16" s="55">
        <v>106709</v>
      </c>
      <c r="K16" s="54">
        <v>108310</v>
      </c>
      <c r="L16" s="55">
        <v>110476</v>
      </c>
      <c r="M16" s="54">
        <v>115116</v>
      </c>
      <c r="N16" s="54"/>
      <c r="O16" s="54"/>
      <c r="P16" s="54"/>
      <c r="Q16" s="153"/>
    </row>
    <row r="17" spans="1:17">
      <c r="A17" s="43"/>
      <c r="B17" s="149" t="str">
        <f t="shared" si="0"/>
        <v>ACA_LEVEL B_4</v>
      </c>
      <c r="C17" s="48" t="s">
        <v>74</v>
      </c>
      <c r="D17" s="48" t="s">
        <v>72</v>
      </c>
      <c r="E17" s="48" t="s">
        <v>75</v>
      </c>
      <c r="F17" s="156">
        <v>4</v>
      </c>
      <c r="G17" s="54">
        <v>104724</v>
      </c>
      <c r="H17" s="54">
        <v>106724</v>
      </c>
      <c r="I17" s="54">
        <v>108325</v>
      </c>
      <c r="J17" s="55">
        <v>110350</v>
      </c>
      <c r="K17" s="54">
        <v>112005</v>
      </c>
      <c r="L17" s="55">
        <v>114245</v>
      </c>
      <c r="M17" s="54">
        <v>119043</v>
      </c>
      <c r="N17" s="54"/>
      <c r="O17" s="54"/>
      <c r="P17" s="54"/>
      <c r="Q17" s="153"/>
    </row>
    <row r="18" spans="1:17">
      <c r="A18" s="43"/>
      <c r="B18" s="149" t="str">
        <f t="shared" si="0"/>
        <v>ACA_LEVEL B_5</v>
      </c>
      <c r="C18" s="48" t="s">
        <v>74</v>
      </c>
      <c r="D18" s="48" t="s">
        <v>72</v>
      </c>
      <c r="E18" s="48" t="s">
        <v>75</v>
      </c>
      <c r="F18" s="156">
        <v>5</v>
      </c>
      <c r="G18" s="54">
        <v>108251</v>
      </c>
      <c r="H18" s="54">
        <v>110251</v>
      </c>
      <c r="I18" s="54">
        <v>111905</v>
      </c>
      <c r="J18" s="55">
        <v>113984</v>
      </c>
      <c r="K18" s="54">
        <v>115694</v>
      </c>
      <c r="L18" s="55">
        <v>118008</v>
      </c>
      <c r="M18" s="54">
        <v>122964</v>
      </c>
      <c r="N18" s="54"/>
      <c r="O18" s="54"/>
      <c r="P18" s="54"/>
      <c r="Q18" s="153"/>
    </row>
    <row r="19" spans="1:17">
      <c r="A19" s="43"/>
      <c r="B19" s="157" t="str">
        <f t="shared" si="0"/>
        <v>ACA_LEVEL B_6</v>
      </c>
      <c r="C19" s="158" t="s">
        <v>74</v>
      </c>
      <c r="D19" s="158" t="s">
        <v>72</v>
      </c>
      <c r="E19" s="158" t="s">
        <v>75</v>
      </c>
      <c r="F19" s="159">
        <v>6</v>
      </c>
      <c r="G19" s="160">
        <v>111788</v>
      </c>
      <c r="H19" s="160">
        <v>113788</v>
      </c>
      <c r="I19" s="160">
        <v>115495</v>
      </c>
      <c r="J19" s="161">
        <v>117627</v>
      </c>
      <c r="K19" s="160">
        <v>119391</v>
      </c>
      <c r="L19" s="161">
        <v>121779</v>
      </c>
      <c r="M19" s="160">
        <v>126894</v>
      </c>
      <c r="N19" s="160"/>
      <c r="O19" s="160"/>
      <c r="P19" s="160"/>
      <c r="Q19" s="162"/>
    </row>
    <row r="20" spans="1:17">
      <c r="A20" s="43"/>
      <c r="B20" s="149" t="str">
        <f t="shared" si="0"/>
        <v>ACA_LEVEL C_1</v>
      </c>
      <c r="C20" s="48" t="s">
        <v>76</v>
      </c>
      <c r="D20" s="48" t="s">
        <v>72</v>
      </c>
      <c r="E20" s="48" t="s">
        <v>77</v>
      </c>
      <c r="F20" s="156">
        <v>1</v>
      </c>
      <c r="G20" s="54">
        <v>115310</v>
      </c>
      <c r="H20" s="54">
        <v>117310</v>
      </c>
      <c r="I20" s="54">
        <v>119070</v>
      </c>
      <c r="J20" s="55">
        <v>121256</v>
      </c>
      <c r="K20" s="54">
        <v>123075</v>
      </c>
      <c r="L20" s="55">
        <v>125537</v>
      </c>
      <c r="M20" s="54">
        <v>130810</v>
      </c>
      <c r="N20" s="54"/>
      <c r="O20" s="54"/>
      <c r="P20" s="54"/>
      <c r="Q20" s="153"/>
    </row>
    <row r="21" spans="1:17">
      <c r="A21" s="43"/>
      <c r="B21" s="149" t="str">
        <f t="shared" si="0"/>
        <v>ACA_LEVEL C_2</v>
      </c>
      <c r="C21" s="48" t="s">
        <v>76</v>
      </c>
      <c r="D21" s="48" t="s">
        <v>72</v>
      </c>
      <c r="E21" s="48" t="s">
        <v>77</v>
      </c>
      <c r="F21" s="156">
        <v>2</v>
      </c>
      <c r="G21" s="54">
        <v>118843</v>
      </c>
      <c r="H21" s="54">
        <v>120843</v>
      </c>
      <c r="I21" s="54">
        <v>122656</v>
      </c>
      <c r="J21" s="55">
        <v>124896</v>
      </c>
      <c r="K21" s="54">
        <v>126769</v>
      </c>
      <c r="L21" s="55">
        <v>129304</v>
      </c>
      <c r="M21" s="54">
        <v>134735</v>
      </c>
      <c r="N21" s="54"/>
      <c r="O21" s="54"/>
      <c r="P21" s="54"/>
      <c r="Q21" s="153"/>
    </row>
    <row r="22" spans="1:17">
      <c r="A22" s="43"/>
      <c r="B22" s="149" t="str">
        <f t="shared" si="0"/>
        <v>ACA_LEVEL C_3</v>
      </c>
      <c r="C22" s="48" t="s">
        <v>76</v>
      </c>
      <c r="D22" s="48" t="s">
        <v>72</v>
      </c>
      <c r="E22" s="48" t="s">
        <v>77</v>
      </c>
      <c r="F22" s="156">
        <v>3</v>
      </c>
      <c r="G22" s="54">
        <v>122370</v>
      </c>
      <c r="H22" s="54">
        <v>124370</v>
      </c>
      <c r="I22" s="54">
        <v>126236</v>
      </c>
      <c r="J22" s="55">
        <v>128530</v>
      </c>
      <c r="K22" s="54">
        <v>130458</v>
      </c>
      <c r="L22" s="55">
        <v>133067</v>
      </c>
      <c r="M22" s="54">
        <v>138656</v>
      </c>
      <c r="N22" s="54"/>
      <c r="O22" s="54"/>
      <c r="P22" s="54"/>
      <c r="Q22" s="153"/>
    </row>
    <row r="23" spans="1:17">
      <c r="A23" s="43"/>
      <c r="B23" s="149" t="str">
        <f t="shared" si="0"/>
        <v>ACA_LEVEL C_4</v>
      </c>
      <c r="C23" s="48" t="s">
        <v>76</v>
      </c>
      <c r="D23" s="48" t="s">
        <v>72</v>
      </c>
      <c r="E23" s="48" t="s">
        <v>77</v>
      </c>
      <c r="F23" s="156">
        <v>4</v>
      </c>
      <c r="G23" s="54">
        <v>125899</v>
      </c>
      <c r="H23" s="54">
        <v>127899</v>
      </c>
      <c r="I23" s="54">
        <v>129817</v>
      </c>
      <c r="J23" s="55">
        <v>132164</v>
      </c>
      <c r="K23" s="54">
        <v>134146</v>
      </c>
      <c r="L23" s="55">
        <v>136829</v>
      </c>
      <c r="M23" s="54">
        <v>142576</v>
      </c>
      <c r="N23" s="54"/>
      <c r="O23" s="54"/>
      <c r="P23" s="54"/>
      <c r="Q23" s="153"/>
    </row>
    <row r="24" spans="1:17">
      <c r="A24" s="43"/>
      <c r="B24" s="149" t="str">
        <f t="shared" si="0"/>
        <v>ACA_LEVEL C_5</v>
      </c>
      <c r="C24" s="48" t="s">
        <v>76</v>
      </c>
      <c r="D24" s="48" t="s">
        <v>72</v>
      </c>
      <c r="E24" s="48" t="s">
        <v>77</v>
      </c>
      <c r="F24" s="156">
        <v>5</v>
      </c>
      <c r="G24" s="54">
        <v>129429</v>
      </c>
      <c r="H24" s="54">
        <v>131429</v>
      </c>
      <c r="I24" s="54">
        <v>133400</v>
      </c>
      <c r="J24" s="55">
        <v>135801</v>
      </c>
      <c r="K24" s="54">
        <v>137838</v>
      </c>
      <c r="L24" s="55">
        <v>140595</v>
      </c>
      <c r="M24" s="54">
        <v>146500</v>
      </c>
      <c r="N24" s="54"/>
      <c r="O24" s="54"/>
      <c r="P24" s="54"/>
      <c r="Q24" s="153"/>
    </row>
    <row r="25" spans="1:17">
      <c r="A25" s="43"/>
      <c r="B25" s="157" t="str">
        <f t="shared" si="0"/>
        <v>ACA_LEVEL C_6</v>
      </c>
      <c r="C25" s="158" t="s">
        <v>76</v>
      </c>
      <c r="D25" s="158" t="s">
        <v>72</v>
      </c>
      <c r="E25" s="158" t="s">
        <v>77</v>
      </c>
      <c r="F25" s="159">
        <v>6</v>
      </c>
      <c r="G25" s="160">
        <v>132966</v>
      </c>
      <c r="H25" s="160">
        <v>134966</v>
      </c>
      <c r="I25" s="160">
        <v>136990</v>
      </c>
      <c r="J25" s="161">
        <v>139445</v>
      </c>
      <c r="K25" s="160">
        <v>141537</v>
      </c>
      <c r="L25" s="161">
        <v>144368</v>
      </c>
      <c r="M25" s="160">
        <v>150431</v>
      </c>
      <c r="N25" s="160"/>
      <c r="O25" s="160"/>
      <c r="P25" s="160"/>
      <c r="Q25" s="162"/>
    </row>
    <row r="26" spans="1:17">
      <c r="A26" s="43"/>
      <c r="B26" s="149" t="str">
        <f t="shared" si="0"/>
        <v>ACA_LEVEL D_1</v>
      </c>
      <c r="C26" s="48" t="s">
        <v>78</v>
      </c>
      <c r="D26" s="48" t="s">
        <v>72</v>
      </c>
      <c r="E26" s="48" t="s">
        <v>79</v>
      </c>
      <c r="F26" s="156">
        <v>1</v>
      </c>
      <c r="G26" s="54">
        <v>138845</v>
      </c>
      <c r="H26" s="54">
        <v>140845</v>
      </c>
      <c r="I26" s="54">
        <v>142958</v>
      </c>
      <c r="J26" s="55">
        <v>145502</v>
      </c>
      <c r="K26" s="54">
        <v>147685</v>
      </c>
      <c r="L26" s="55">
        <v>150639</v>
      </c>
      <c r="M26" s="54">
        <v>156966</v>
      </c>
      <c r="N26" s="54"/>
      <c r="O26" s="54"/>
      <c r="P26" s="54"/>
      <c r="Q26" s="153"/>
    </row>
    <row r="27" spans="1:17">
      <c r="A27" s="43"/>
      <c r="B27" s="149" t="str">
        <f t="shared" si="0"/>
        <v>ACA_LEVEL D_2</v>
      </c>
      <c r="C27" s="48" t="s">
        <v>78</v>
      </c>
      <c r="D27" s="48" t="s">
        <v>72</v>
      </c>
      <c r="E27" s="48" t="s">
        <v>79</v>
      </c>
      <c r="F27" s="156">
        <v>2</v>
      </c>
      <c r="G27" s="54">
        <v>143549</v>
      </c>
      <c r="H27" s="54">
        <v>145549</v>
      </c>
      <c r="I27" s="54">
        <v>147732</v>
      </c>
      <c r="J27" s="55">
        <v>150348</v>
      </c>
      <c r="K27" s="54">
        <v>152603</v>
      </c>
      <c r="L27" s="55">
        <v>155655</v>
      </c>
      <c r="M27" s="54">
        <v>162193</v>
      </c>
      <c r="N27" s="54"/>
      <c r="O27" s="54"/>
      <c r="P27" s="54"/>
      <c r="Q27" s="153"/>
    </row>
    <row r="28" spans="1:17">
      <c r="A28" s="43"/>
      <c r="B28" s="149" t="str">
        <f t="shared" si="0"/>
        <v>ACA_LEVEL D_3</v>
      </c>
      <c r="C28" s="48" t="s">
        <v>78</v>
      </c>
      <c r="D28" s="48" t="s">
        <v>72</v>
      </c>
      <c r="E28" s="48" t="s">
        <v>79</v>
      </c>
      <c r="F28" s="156">
        <v>3</v>
      </c>
      <c r="G28" s="54">
        <v>148263</v>
      </c>
      <c r="H28" s="54">
        <v>150263</v>
      </c>
      <c r="I28" s="54">
        <v>152517</v>
      </c>
      <c r="J28" s="55">
        <v>155205</v>
      </c>
      <c r="K28" s="54">
        <v>157533</v>
      </c>
      <c r="L28" s="55">
        <v>160684</v>
      </c>
      <c r="M28" s="54">
        <v>167433</v>
      </c>
      <c r="N28" s="54"/>
      <c r="O28" s="54"/>
      <c r="P28" s="54"/>
      <c r="Q28" s="153"/>
    </row>
    <row r="29" spans="1:17">
      <c r="A29" s="43"/>
      <c r="B29" s="157" t="str">
        <f t="shared" si="0"/>
        <v>ACA_LEVEL D_4</v>
      </c>
      <c r="C29" s="158" t="s">
        <v>78</v>
      </c>
      <c r="D29" s="158" t="s">
        <v>72</v>
      </c>
      <c r="E29" s="158" t="s">
        <v>79</v>
      </c>
      <c r="F29" s="159">
        <v>4</v>
      </c>
      <c r="G29" s="160">
        <v>152965</v>
      </c>
      <c r="H29" s="160">
        <v>154965</v>
      </c>
      <c r="I29" s="160">
        <v>157289</v>
      </c>
      <c r="J29" s="161">
        <v>160048</v>
      </c>
      <c r="K29" s="160">
        <v>162449</v>
      </c>
      <c r="L29" s="161">
        <v>165698</v>
      </c>
      <c r="M29" s="160">
        <v>172657</v>
      </c>
      <c r="N29" s="160"/>
      <c r="O29" s="160"/>
      <c r="P29" s="160"/>
      <c r="Q29" s="162"/>
    </row>
    <row r="30" spans="1:17">
      <c r="A30" s="43"/>
      <c r="B30" s="157" t="str">
        <f t="shared" si="0"/>
        <v>ACA_LEVEL E_1</v>
      </c>
      <c r="C30" s="158" t="s">
        <v>80</v>
      </c>
      <c r="D30" s="158" t="s">
        <v>72</v>
      </c>
      <c r="E30" s="158" t="s">
        <v>81</v>
      </c>
      <c r="F30" s="159">
        <v>1</v>
      </c>
      <c r="G30" s="160">
        <v>178851</v>
      </c>
      <c r="H30" s="160">
        <v>180851</v>
      </c>
      <c r="I30" s="160">
        <v>183564</v>
      </c>
      <c r="J30" s="161">
        <v>186717</v>
      </c>
      <c r="K30" s="160">
        <v>189518</v>
      </c>
      <c r="L30" s="161">
        <v>193308</v>
      </c>
      <c r="M30" s="160">
        <v>201427</v>
      </c>
      <c r="N30" s="160"/>
      <c r="O30" s="160"/>
      <c r="P30" s="160"/>
      <c r="Q30" s="162"/>
    </row>
    <row r="31" spans="1:17">
      <c r="A31" s="43"/>
      <c r="B31" s="149" t="str">
        <f t="shared" si="0"/>
        <v>__Clinical</v>
      </c>
      <c r="C31" s="48"/>
      <c r="D31" s="48"/>
      <c r="E31" s="48"/>
      <c r="F31" s="156" t="s">
        <v>82</v>
      </c>
      <c r="G31" s="54">
        <v>30957</v>
      </c>
      <c r="H31" s="54">
        <v>31421</v>
      </c>
      <c r="I31" s="54">
        <v>31892</v>
      </c>
      <c r="J31" s="55">
        <v>32380</v>
      </c>
      <c r="K31" s="54">
        <v>32866</v>
      </c>
      <c r="L31" s="55">
        <v>33523</v>
      </c>
      <c r="M31" s="54">
        <v>34931</v>
      </c>
      <c r="N31" s="54"/>
      <c r="O31" s="54"/>
      <c r="P31" s="54"/>
      <c r="Q31" s="153"/>
    </row>
    <row r="32" spans="1:17">
      <c r="A32" s="43"/>
      <c r="B32" s="149" t="str">
        <f t="shared" si="0"/>
        <v>__Para-Clinical</v>
      </c>
      <c r="C32" s="48"/>
      <c r="D32" s="48"/>
      <c r="E32" s="48"/>
      <c r="F32" s="156" t="s">
        <v>83</v>
      </c>
      <c r="G32" s="54">
        <v>20672</v>
      </c>
      <c r="H32" s="54">
        <v>20982</v>
      </c>
      <c r="I32" s="54">
        <v>21297</v>
      </c>
      <c r="J32" s="55">
        <v>21623</v>
      </c>
      <c r="K32" s="54">
        <v>21947</v>
      </c>
      <c r="L32" s="55">
        <v>22386</v>
      </c>
      <c r="M32" s="54">
        <v>23326</v>
      </c>
      <c r="N32" s="54"/>
      <c r="O32" s="54"/>
      <c r="P32" s="54"/>
      <c r="Q32" s="153"/>
    </row>
    <row r="33" spans="1:17">
      <c r="A33" s="43"/>
      <c r="B33" s="149" t="str">
        <f t="shared" si="0"/>
        <v>__Pre-Clinical</v>
      </c>
      <c r="C33" s="48"/>
      <c r="D33" s="48"/>
      <c r="E33" s="48"/>
      <c r="F33" s="156" t="s">
        <v>84</v>
      </c>
      <c r="G33" s="54">
        <v>15503</v>
      </c>
      <c r="H33" s="54">
        <v>15736</v>
      </c>
      <c r="I33" s="54">
        <v>15972</v>
      </c>
      <c r="J33" s="55">
        <v>16216</v>
      </c>
      <c r="K33" s="54">
        <v>16459</v>
      </c>
      <c r="L33" s="55">
        <v>16788</v>
      </c>
      <c r="M33" s="54">
        <v>17493</v>
      </c>
      <c r="N33" s="54"/>
      <c r="O33" s="54"/>
      <c r="P33" s="54"/>
      <c r="Q33" s="153"/>
    </row>
    <row r="34" spans="1:17">
      <c r="A34" s="43"/>
      <c r="B34" s="157" t="str">
        <f t="shared" si="0"/>
        <v>__Dental</v>
      </c>
      <c r="C34" s="158"/>
      <c r="D34" s="158"/>
      <c r="E34" s="158"/>
      <c r="F34" s="159" t="s">
        <v>85</v>
      </c>
      <c r="G34" s="160">
        <v>15503</v>
      </c>
      <c r="H34" s="160">
        <v>15736</v>
      </c>
      <c r="I34" s="160">
        <v>15972</v>
      </c>
      <c r="J34" s="161">
        <v>16216</v>
      </c>
      <c r="K34" s="160">
        <v>16459</v>
      </c>
      <c r="L34" s="161">
        <v>16788</v>
      </c>
      <c r="M34" s="160">
        <v>17493</v>
      </c>
      <c r="N34" s="160"/>
      <c r="O34" s="160"/>
      <c r="P34" s="160"/>
      <c r="Q34" s="162"/>
    </row>
    <row r="35" spans="1:17">
      <c r="A35" s="43"/>
      <c r="B35" s="149" t="str">
        <f t="shared" si="0"/>
        <v>HEO_HEO Level 1_1</v>
      </c>
      <c r="C35" s="48" t="s">
        <v>86</v>
      </c>
      <c r="D35" s="48" t="s">
        <v>87</v>
      </c>
      <c r="E35" s="48" t="s">
        <v>88</v>
      </c>
      <c r="F35" s="156">
        <v>1</v>
      </c>
      <c r="G35" s="54">
        <v>31998</v>
      </c>
      <c r="H35" s="54">
        <v>33998</v>
      </c>
      <c r="I35" s="54">
        <v>34508</v>
      </c>
      <c r="J35" s="55">
        <v>35426</v>
      </c>
      <c r="K35" s="54">
        <v>35957</v>
      </c>
      <c r="L35" s="55">
        <v>36676</v>
      </c>
      <c r="M35" s="54">
        <v>38216</v>
      </c>
      <c r="N35" s="54"/>
      <c r="O35" s="54"/>
      <c r="P35" s="54"/>
      <c r="Q35" s="153"/>
    </row>
    <row r="36" spans="1:17">
      <c r="A36" s="43"/>
      <c r="B36" s="149" t="str">
        <f t="shared" si="0"/>
        <v>HEO_HEO Level 1_2</v>
      </c>
      <c r="C36" s="48" t="s">
        <v>86</v>
      </c>
      <c r="D36" s="48" t="s">
        <v>87</v>
      </c>
      <c r="E36" s="48" t="s">
        <v>88</v>
      </c>
      <c r="F36" s="156">
        <v>2</v>
      </c>
      <c r="G36" s="54">
        <v>37026</v>
      </c>
      <c r="H36" s="54">
        <v>39026</v>
      </c>
      <c r="I36" s="54">
        <v>39611</v>
      </c>
      <c r="J36" s="55">
        <v>40605</v>
      </c>
      <c r="K36" s="54">
        <v>41214</v>
      </c>
      <c r="L36" s="55">
        <v>42038</v>
      </c>
      <c r="M36" s="54">
        <v>43804</v>
      </c>
      <c r="N36" s="54"/>
      <c r="O36" s="54"/>
      <c r="P36" s="54"/>
      <c r="Q36" s="153"/>
    </row>
    <row r="37" spans="1:17">
      <c r="A37" s="43"/>
      <c r="B37" s="149" t="str">
        <f t="shared" si="0"/>
        <v>HEO_HEO Level 1_3</v>
      </c>
      <c r="C37" s="48" t="s">
        <v>86</v>
      </c>
      <c r="D37" s="48" t="s">
        <v>87</v>
      </c>
      <c r="E37" s="48" t="s">
        <v>88</v>
      </c>
      <c r="F37" s="156">
        <v>3</v>
      </c>
      <c r="G37" s="54">
        <v>41598</v>
      </c>
      <c r="H37" s="54">
        <v>43598</v>
      </c>
      <c r="I37" s="54">
        <v>44252</v>
      </c>
      <c r="J37" s="55">
        <v>45316</v>
      </c>
      <c r="K37" s="54">
        <v>45996</v>
      </c>
      <c r="L37" s="55">
        <v>46916</v>
      </c>
      <c r="M37" s="54">
        <v>48886</v>
      </c>
      <c r="N37" s="54"/>
      <c r="O37" s="54"/>
      <c r="P37" s="54"/>
      <c r="Q37" s="153"/>
    </row>
    <row r="38" spans="1:17">
      <c r="A38" s="43"/>
      <c r="B38" s="149" t="str">
        <f t="shared" si="0"/>
        <v>HEO_HEO Level 1_4</v>
      </c>
      <c r="C38" s="48" t="s">
        <v>86</v>
      </c>
      <c r="D38" s="48" t="s">
        <v>87</v>
      </c>
      <c r="E38" s="48" t="s">
        <v>88</v>
      </c>
      <c r="F38" s="156">
        <v>4</v>
      </c>
      <c r="G38" s="54">
        <v>45712</v>
      </c>
      <c r="H38" s="54">
        <v>47712</v>
      </c>
      <c r="I38" s="54">
        <v>48428</v>
      </c>
      <c r="J38" s="55">
        <v>49554</v>
      </c>
      <c r="K38" s="54">
        <v>50297</v>
      </c>
      <c r="L38" s="55">
        <v>51303</v>
      </c>
      <c r="M38" s="54">
        <v>53458</v>
      </c>
      <c r="N38" s="54"/>
      <c r="O38" s="54"/>
      <c r="P38" s="54"/>
      <c r="Q38" s="153"/>
    </row>
    <row r="39" spans="1:17">
      <c r="A39" s="43"/>
      <c r="B39" s="149" t="str">
        <f t="shared" si="0"/>
        <v>HEO_HEO Level 1_5</v>
      </c>
      <c r="C39" s="48" t="s">
        <v>86</v>
      </c>
      <c r="D39" s="48" t="s">
        <v>87</v>
      </c>
      <c r="E39" s="48" t="s">
        <v>88</v>
      </c>
      <c r="F39" s="156">
        <v>5</v>
      </c>
      <c r="G39" s="54">
        <v>46227</v>
      </c>
      <c r="H39" s="54">
        <v>48227</v>
      </c>
      <c r="I39" s="54">
        <v>48950</v>
      </c>
      <c r="J39" s="55">
        <v>50084</v>
      </c>
      <c r="K39" s="54">
        <v>50835</v>
      </c>
      <c r="L39" s="55">
        <v>51852</v>
      </c>
      <c r="M39" s="54">
        <v>54030</v>
      </c>
      <c r="N39" s="54"/>
      <c r="O39" s="54"/>
      <c r="P39" s="54"/>
      <c r="Q39" s="153"/>
    </row>
    <row r="40" spans="1:17">
      <c r="A40" s="43"/>
      <c r="B40" s="149" t="str">
        <f t="shared" si="0"/>
        <v>HEO_HEO Level 1_6</v>
      </c>
      <c r="C40" s="48" t="s">
        <v>86</v>
      </c>
      <c r="D40" s="48" t="s">
        <v>87</v>
      </c>
      <c r="E40" s="48" t="s">
        <v>88</v>
      </c>
      <c r="F40" s="156">
        <v>6</v>
      </c>
      <c r="G40" s="54">
        <v>47006</v>
      </c>
      <c r="H40" s="54">
        <v>49006</v>
      </c>
      <c r="I40" s="54">
        <v>49741</v>
      </c>
      <c r="J40" s="55">
        <v>50887</v>
      </c>
      <c r="K40" s="54">
        <v>51650</v>
      </c>
      <c r="L40" s="55">
        <v>52683</v>
      </c>
      <c r="M40" s="54">
        <v>54896</v>
      </c>
      <c r="N40" s="54"/>
      <c r="O40" s="54"/>
      <c r="P40" s="54"/>
      <c r="Q40" s="153"/>
    </row>
    <row r="41" spans="1:17">
      <c r="A41" s="43"/>
      <c r="B41" s="157" t="str">
        <f t="shared" si="0"/>
        <v>HEO_HEO Level 1_7</v>
      </c>
      <c r="C41" s="158" t="s">
        <v>86</v>
      </c>
      <c r="D41" s="158" t="s">
        <v>87</v>
      </c>
      <c r="E41" s="158" t="s">
        <v>88</v>
      </c>
      <c r="F41" s="159">
        <v>7</v>
      </c>
      <c r="G41" s="160">
        <v>47784</v>
      </c>
      <c r="H41" s="160">
        <v>49784</v>
      </c>
      <c r="I41" s="160">
        <v>50531</v>
      </c>
      <c r="J41" s="161">
        <v>51689</v>
      </c>
      <c r="K41" s="160">
        <v>52464</v>
      </c>
      <c r="L41" s="161">
        <v>53513</v>
      </c>
      <c r="M41" s="160">
        <v>55761</v>
      </c>
      <c r="N41" s="160"/>
      <c r="O41" s="160"/>
      <c r="P41" s="160"/>
      <c r="Q41" s="162"/>
    </row>
    <row r="42" spans="1:17">
      <c r="A42" s="43"/>
      <c r="B42" s="149" t="str">
        <f t="shared" si="0"/>
        <v>HEO_HEO Level 2_1</v>
      </c>
      <c r="C42" s="48" t="s">
        <v>89</v>
      </c>
      <c r="D42" s="48" t="s">
        <v>87</v>
      </c>
      <c r="E42" s="48" t="s">
        <v>90</v>
      </c>
      <c r="F42" s="156">
        <v>1</v>
      </c>
      <c r="G42" s="54">
        <v>34539</v>
      </c>
      <c r="H42" s="54">
        <v>36539</v>
      </c>
      <c r="I42" s="54">
        <v>37087</v>
      </c>
      <c r="J42" s="55">
        <v>38043</v>
      </c>
      <c r="K42" s="54">
        <v>38614</v>
      </c>
      <c r="L42" s="55">
        <v>39386</v>
      </c>
      <c r="M42" s="54">
        <v>41040</v>
      </c>
      <c r="N42" s="54"/>
      <c r="O42" s="54"/>
      <c r="P42" s="54"/>
      <c r="Q42" s="153"/>
    </row>
    <row r="43" spans="1:17">
      <c r="A43" s="43"/>
      <c r="B43" s="149" t="str">
        <f t="shared" si="0"/>
        <v>HEO_HEO Level 2_2</v>
      </c>
      <c r="C43" s="48" t="s">
        <v>89</v>
      </c>
      <c r="D43" s="48" t="s">
        <v>87</v>
      </c>
      <c r="E43" s="48" t="s">
        <v>90</v>
      </c>
      <c r="F43" s="156">
        <v>2</v>
      </c>
      <c r="G43" s="54">
        <v>39969</v>
      </c>
      <c r="H43" s="54">
        <v>41969</v>
      </c>
      <c r="I43" s="54">
        <v>42599</v>
      </c>
      <c r="J43" s="55">
        <v>43638</v>
      </c>
      <c r="K43" s="54">
        <v>44293</v>
      </c>
      <c r="L43" s="55">
        <v>45179</v>
      </c>
      <c r="M43" s="54">
        <v>47077</v>
      </c>
      <c r="N43" s="54"/>
      <c r="O43" s="54"/>
      <c r="P43" s="54"/>
      <c r="Q43" s="153"/>
    </row>
    <row r="44" spans="1:17">
      <c r="A44" s="43"/>
      <c r="B44" s="149" t="str">
        <f t="shared" si="0"/>
        <v>HEO_HEO Level 2_3</v>
      </c>
      <c r="C44" s="48" t="s">
        <v>89</v>
      </c>
      <c r="D44" s="48" t="s">
        <v>87</v>
      </c>
      <c r="E44" s="48" t="s">
        <v>90</v>
      </c>
      <c r="F44" s="156">
        <v>3</v>
      </c>
      <c r="G44" s="54">
        <v>44902</v>
      </c>
      <c r="H44" s="54">
        <v>46902</v>
      </c>
      <c r="I44" s="54">
        <v>47606</v>
      </c>
      <c r="J44" s="55">
        <v>48720</v>
      </c>
      <c r="K44" s="54">
        <v>49451</v>
      </c>
      <c r="L44" s="55">
        <v>50440</v>
      </c>
      <c r="M44" s="54">
        <v>52558</v>
      </c>
      <c r="N44" s="54"/>
      <c r="O44" s="54"/>
      <c r="P44" s="54"/>
      <c r="Q44" s="153"/>
    </row>
    <row r="45" spans="1:17">
      <c r="A45" s="43"/>
      <c r="B45" s="149" t="str">
        <f t="shared" si="0"/>
        <v>HEO_HEO Level 2_4</v>
      </c>
      <c r="C45" s="48" t="s">
        <v>89</v>
      </c>
      <c r="D45" s="48" t="s">
        <v>87</v>
      </c>
      <c r="E45" s="48" t="s">
        <v>90</v>
      </c>
      <c r="F45" s="156">
        <v>4</v>
      </c>
      <c r="G45" s="54">
        <v>49342</v>
      </c>
      <c r="H45" s="54">
        <v>51342</v>
      </c>
      <c r="I45" s="54">
        <v>52112</v>
      </c>
      <c r="J45" s="55">
        <v>53294</v>
      </c>
      <c r="K45" s="54">
        <v>54093</v>
      </c>
      <c r="L45" s="55">
        <v>55175</v>
      </c>
      <c r="M45" s="54">
        <v>57492</v>
      </c>
      <c r="N45" s="54"/>
      <c r="O45" s="54"/>
      <c r="P45" s="54"/>
      <c r="Q45" s="153"/>
    </row>
    <row r="46" spans="1:17">
      <c r="A46" s="43"/>
      <c r="B46" s="149" t="str">
        <f t="shared" si="0"/>
        <v>HEO_HEO Level 2_5</v>
      </c>
      <c r="C46" s="48" t="s">
        <v>89</v>
      </c>
      <c r="D46" s="48" t="s">
        <v>87</v>
      </c>
      <c r="E46" s="48" t="s">
        <v>90</v>
      </c>
      <c r="F46" s="156">
        <v>5</v>
      </c>
      <c r="G46" s="54">
        <v>50383</v>
      </c>
      <c r="H46" s="54">
        <v>52383</v>
      </c>
      <c r="I46" s="54">
        <v>53169</v>
      </c>
      <c r="J46" s="55">
        <v>54367</v>
      </c>
      <c r="K46" s="54">
        <v>55183</v>
      </c>
      <c r="L46" s="55">
        <v>56287</v>
      </c>
      <c r="M46" s="54">
        <v>58651</v>
      </c>
      <c r="N46" s="54"/>
      <c r="O46" s="54"/>
      <c r="P46" s="54"/>
      <c r="Q46" s="153"/>
    </row>
    <row r="47" spans="1:17">
      <c r="A47" s="43"/>
      <c r="B47" s="149" t="str">
        <f t="shared" si="0"/>
        <v>HEO_HEO Level 2_6</v>
      </c>
      <c r="C47" s="48" t="s">
        <v>89</v>
      </c>
      <c r="D47" s="48" t="s">
        <v>87</v>
      </c>
      <c r="E47" s="48" t="s">
        <v>90</v>
      </c>
      <c r="F47" s="156">
        <v>6</v>
      </c>
      <c r="G47" s="54">
        <v>51422</v>
      </c>
      <c r="H47" s="54">
        <v>53422</v>
      </c>
      <c r="I47" s="54">
        <v>54223</v>
      </c>
      <c r="J47" s="55">
        <v>55436</v>
      </c>
      <c r="K47" s="54">
        <v>56268</v>
      </c>
      <c r="L47" s="55">
        <v>57393</v>
      </c>
      <c r="M47" s="54">
        <v>59804</v>
      </c>
      <c r="N47" s="54"/>
      <c r="O47" s="54"/>
      <c r="P47" s="54"/>
      <c r="Q47" s="153"/>
    </row>
    <row r="48" spans="1:17">
      <c r="A48" s="43"/>
      <c r="B48" s="157" t="str">
        <f t="shared" si="0"/>
        <v>HEO_HEO Level 2_7</v>
      </c>
      <c r="C48" s="158" t="s">
        <v>89</v>
      </c>
      <c r="D48" s="158" t="s">
        <v>87</v>
      </c>
      <c r="E48" s="158" t="s">
        <v>90</v>
      </c>
      <c r="F48" s="159">
        <v>7</v>
      </c>
      <c r="G48" s="160">
        <v>52457</v>
      </c>
      <c r="H48" s="160">
        <v>54457</v>
      </c>
      <c r="I48" s="160">
        <v>55274</v>
      </c>
      <c r="J48" s="161">
        <v>56503</v>
      </c>
      <c r="K48" s="160">
        <v>57351</v>
      </c>
      <c r="L48" s="161">
        <v>58498</v>
      </c>
      <c r="M48" s="160">
        <v>60955</v>
      </c>
      <c r="N48" s="160"/>
      <c r="O48" s="160"/>
      <c r="P48" s="160"/>
      <c r="Q48" s="162"/>
    </row>
    <row r="49" spans="1:17">
      <c r="A49" s="43"/>
      <c r="B49" s="149" t="str">
        <f t="shared" si="0"/>
        <v>HEO_HEO Level 3_1</v>
      </c>
      <c r="C49" s="48" t="s">
        <v>91</v>
      </c>
      <c r="D49" s="48" t="s">
        <v>87</v>
      </c>
      <c r="E49" s="48" t="s">
        <v>92</v>
      </c>
      <c r="F49" s="156">
        <v>1</v>
      </c>
      <c r="G49" s="54">
        <v>36359</v>
      </c>
      <c r="H49" s="54">
        <v>38359</v>
      </c>
      <c r="I49" s="54">
        <v>38934</v>
      </c>
      <c r="J49" s="55">
        <v>39918</v>
      </c>
      <c r="K49" s="54">
        <v>40517</v>
      </c>
      <c r="L49" s="55">
        <v>41327</v>
      </c>
      <c r="M49" s="54">
        <v>43063</v>
      </c>
      <c r="N49" s="54"/>
      <c r="O49" s="54"/>
      <c r="P49" s="54"/>
      <c r="Q49" s="153"/>
    </row>
    <row r="50" spans="1:17">
      <c r="A50" s="43"/>
      <c r="B50" s="149" t="str">
        <f t="shared" si="0"/>
        <v>HEO_HEO Level 3_2</v>
      </c>
      <c r="C50" s="48" t="s">
        <v>91</v>
      </c>
      <c r="D50" s="48" t="s">
        <v>87</v>
      </c>
      <c r="E50" s="48" t="s">
        <v>92</v>
      </c>
      <c r="F50" s="156">
        <v>2</v>
      </c>
      <c r="G50" s="54">
        <v>42072</v>
      </c>
      <c r="H50" s="54">
        <v>44072</v>
      </c>
      <c r="I50" s="54">
        <v>44733</v>
      </c>
      <c r="J50" s="55">
        <v>45804</v>
      </c>
      <c r="K50" s="54">
        <v>46491</v>
      </c>
      <c r="L50" s="55">
        <v>47421</v>
      </c>
      <c r="M50" s="54">
        <v>49413</v>
      </c>
      <c r="N50" s="54"/>
      <c r="O50" s="54"/>
      <c r="P50" s="54"/>
      <c r="Q50" s="153"/>
    </row>
    <row r="51" spans="1:17">
      <c r="A51" s="43"/>
      <c r="B51" s="149" t="str">
        <f t="shared" si="0"/>
        <v>HEO_HEO Level 3_3</v>
      </c>
      <c r="C51" s="48" t="s">
        <v>91</v>
      </c>
      <c r="D51" s="48" t="s">
        <v>87</v>
      </c>
      <c r="E51" s="48" t="s">
        <v>92</v>
      </c>
      <c r="F51" s="156">
        <v>3</v>
      </c>
      <c r="G51" s="54">
        <v>47266</v>
      </c>
      <c r="H51" s="54">
        <v>49266</v>
      </c>
      <c r="I51" s="54">
        <v>50005</v>
      </c>
      <c r="J51" s="55">
        <v>51155</v>
      </c>
      <c r="K51" s="54">
        <v>51922</v>
      </c>
      <c r="L51" s="55">
        <v>52960</v>
      </c>
      <c r="M51" s="54">
        <v>55184</v>
      </c>
      <c r="N51" s="54"/>
      <c r="O51" s="54"/>
      <c r="P51" s="54"/>
      <c r="Q51" s="153"/>
    </row>
    <row r="52" spans="1:17">
      <c r="A52" s="43"/>
      <c r="B52" s="149" t="str">
        <f t="shared" si="0"/>
        <v>HEO_HEO Level 3_4</v>
      </c>
      <c r="C52" s="48" t="s">
        <v>91</v>
      </c>
      <c r="D52" s="48" t="s">
        <v>87</v>
      </c>
      <c r="E52" s="48" t="s">
        <v>92</v>
      </c>
      <c r="F52" s="156">
        <v>4</v>
      </c>
      <c r="G52" s="54">
        <v>51941</v>
      </c>
      <c r="H52" s="54">
        <v>53941</v>
      </c>
      <c r="I52" s="54">
        <v>54750</v>
      </c>
      <c r="J52" s="55">
        <v>55971</v>
      </c>
      <c r="K52" s="54">
        <v>56811</v>
      </c>
      <c r="L52" s="55">
        <v>57947</v>
      </c>
      <c r="M52" s="54">
        <v>60381</v>
      </c>
      <c r="N52" s="54"/>
      <c r="O52" s="54"/>
      <c r="P52" s="54"/>
      <c r="Q52" s="153"/>
    </row>
    <row r="53" spans="1:17">
      <c r="A53" s="43"/>
      <c r="B53" s="149" t="str">
        <f t="shared" si="0"/>
        <v>HEO_HEO Level 3_5</v>
      </c>
      <c r="C53" s="48" t="s">
        <v>91</v>
      </c>
      <c r="D53" s="48" t="s">
        <v>87</v>
      </c>
      <c r="E53" s="48" t="s">
        <v>92</v>
      </c>
      <c r="F53" s="156">
        <v>5</v>
      </c>
      <c r="G53" s="54">
        <v>53757</v>
      </c>
      <c r="H53" s="54">
        <v>55757</v>
      </c>
      <c r="I53" s="54">
        <v>56593</v>
      </c>
      <c r="J53" s="55">
        <v>57842</v>
      </c>
      <c r="K53" s="54">
        <v>58710</v>
      </c>
      <c r="L53" s="55">
        <v>59884</v>
      </c>
      <c r="M53" s="54">
        <v>62399</v>
      </c>
      <c r="N53" s="54"/>
      <c r="O53" s="54"/>
      <c r="P53" s="54"/>
      <c r="Q53" s="153"/>
    </row>
    <row r="54" spans="1:17">
      <c r="A54" s="43"/>
      <c r="B54" s="149" t="str">
        <f t="shared" si="0"/>
        <v>HEO_HEO Level 3_6</v>
      </c>
      <c r="C54" s="48" t="s">
        <v>91</v>
      </c>
      <c r="D54" s="48" t="s">
        <v>87</v>
      </c>
      <c r="E54" s="48" t="s">
        <v>92</v>
      </c>
      <c r="F54" s="156">
        <v>6</v>
      </c>
      <c r="G54" s="54">
        <v>55580</v>
      </c>
      <c r="H54" s="54">
        <v>57580</v>
      </c>
      <c r="I54" s="54">
        <v>58444</v>
      </c>
      <c r="J54" s="55">
        <v>59721</v>
      </c>
      <c r="K54" s="54">
        <v>60617</v>
      </c>
      <c r="L54" s="55">
        <v>61829</v>
      </c>
      <c r="M54" s="54">
        <v>64426</v>
      </c>
      <c r="N54" s="54"/>
      <c r="O54" s="54"/>
      <c r="P54" s="54"/>
      <c r="Q54" s="153"/>
    </row>
    <row r="55" spans="1:17">
      <c r="A55" s="43"/>
      <c r="B55" s="149" t="str">
        <f t="shared" si="0"/>
        <v>HEO_HEO Level 3_7</v>
      </c>
      <c r="C55" s="48" t="s">
        <v>91</v>
      </c>
      <c r="D55" s="48" t="s">
        <v>87</v>
      </c>
      <c r="E55" s="48" t="s">
        <v>92</v>
      </c>
      <c r="F55" s="156">
        <v>7</v>
      </c>
      <c r="G55" s="54">
        <v>57397</v>
      </c>
      <c r="H55" s="54">
        <v>59397</v>
      </c>
      <c r="I55" s="54">
        <v>60288</v>
      </c>
      <c r="J55" s="55">
        <v>61592</v>
      </c>
      <c r="K55" s="54">
        <v>62516</v>
      </c>
      <c r="L55" s="55">
        <v>63766</v>
      </c>
      <c r="M55" s="54">
        <v>66444</v>
      </c>
      <c r="N55" s="54"/>
      <c r="O55" s="54"/>
      <c r="P55" s="54"/>
      <c r="Q55" s="153"/>
    </row>
    <row r="56" spans="1:17">
      <c r="A56" s="43"/>
      <c r="B56" s="157" t="str">
        <f t="shared" si="0"/>
        <v>HEO_HEO Level 3_8</v>
      </c>
      <c r="C56" s="158" t="s">
        <v>91</v>
      </c>
      <c r="D56" s="158" t="s">
        <v>87</v>
      </c>
      <c r="E56" s="158" t="s">
        <v>92</v>
      </c>
      <c r="F56" s="159">
        <v>8</v>
      </c>
      <c r="G56" s="160">
        <v>59214</v>
      </c>
      <c r="H56" s="160">
        <v>61214</v>
      </c>
      <c r="I56" s="160">
        <v>62132</v>
      </c>
      <c r="J56" s="161">
        <v>63464</v>
      </c>
      <c r="K56" s="160">
        <v>64416</v>
      </c>
      <c r="L56" s="161">
        <v>65704</v>
      </c>
      <c r="M56" s="160">
        <v>68464</v>
      </c>
      <c r="N56" s="160"/>
      <c r="O56" s="160"/>
      <c r="P56" s="160"/>
      <c r="Q56" s="162"/>
    </row>
    <row r="57" spans="1:17">
      <c r="A57" s="43"/>
      <c r="B57" s="149" t="str">
        <f t="shared" si="0"/>
        <v>HEO_HEO Level 4_1</v>
      </c>
      <c r="C57" s="48" t="s">
        <v>93</v>
      </c>
      <c r="D57" s="48" t="s">
        <v>87</v>
      </c>
      <c r="E57" s="48" t="s">
        <v>94</v>
      </c>
      <c r="F57" s="156">
        <v>1</v>
      </c>
      <c r="G57" s="54">
        <v>59735</v>
      </c>
      <c r="H57" s="54">
        <v>61735</v>
      </c>
      <c r="I57" s="54">
        <v>62661</v>
      </c>
      <c r="J57" s="55">
        <v>64001</v>
      </c>
      <c r="K57" s="54">
        <v>64961</v>
      </c>
      <c r="L57" s="55">
        <v>66260</v>
      </c>
      <c r="M57" s="54">
        <v>69043</v>
      </c>
      <c r="N57" s="54"/>
      <c r="O57" s="54"/>
      <c r="P57" s="54"/>
      <c r="Q57" s="153"/>
    </row>
    <row r="58" spans="1:17">
      <c r="A58" s="43"/>
      <c r="B58" s="149" t="str">
        <f t="shared" si="0"/>
        <v>HEO_HEO Level 4_2</v>
      </c>
      <c r="C58" s="48" t="s">
        <v>93</v>
      </c>
      <c r="D58" s="48" t="s">
        <v>87</v>
      </c>
      <c r="E58" s="48" t="s">
        <v>94</v>
      </c>
      <c r="F58" s="156">
        <v>2</v>
      </c>
      <c r="G58" s="54">
        <v>61546</v>
      </c>
      <c r="H58" s="54">
        <v>63546</v>
      </c>
      <c r="I58" s="54">
        <v>64499</v>
      </c>
      <c r="J58" s="55">
        <v>65866</v>
      </c>
      <c r="K58" s="54">
        <v>66854</v>
      </c>
      <c r="L58" s="55">
        <v>68191</v>
      </c>
      <c r="M58" s="54">
        <v>71055</v>
      </c>
      <c r="N58" s="54"/>
      <c r="O58" s="54"/>
      <c r="P58" s="54"/>
      <c r="Q58" s="153"/>
    </row>
    <row r="59" spans="1:17">
      <c r="A59" s="43"/>
      <c r="B59" s="149" t="str">
        <f t="shared" si="0"/>
        <v>HEO_HEO Level 4_3</v>
      </c>
      <c r="C59" s="48" t="s">
        <v>93</v>
      </c>
      <c r="D59" s="48" t="s">
        <v>87</v>
      </c>
      <c r="E59" s="48" t="s">
        <v>94</v>
      </c>
      <c r="F59" s="156">
        <v>3</v>
      </c>
      <c r="G59" s="54">
        <v>63625</v>
      </c>
      <c r="H59" s="54">
        <v>65625</v>
      </c>
      <c r="I59" s="54">
        <v>66609</v>
      </c>
      <c r="J59" s="55">
        <v>68008</v>
      </c>
      <c r="K59" s="54">
        <v>69028</v>
      </c>
      <c r="L59" s="55">
        <v>70409</v>
      </c>
      <c r="M59" s="54">
        <v>73366</v>
      </c>
      <c r="N59" s="54"/>
      <c r="O59" s="54"/>
      <c r="P59" s="54"/>
      <c r="Q59" s="153"/>
    </row>
    <row r="60" spans="1:17">
      <c r="A60" s="43"/>
      <c r="B60" s="157" t="str">
        <f t="shared" si="0"/>
        <v>HEO_HEO Level 4_4</v>
      </c>
      <c r="C60" s="158" t="s">
        <v>93</v>
      </c>
      <c r="D60" s="158" t="s">
        <v>87</v>
      </c>
      <c r="E60" s="158" t="s">
        <v>94</v>
      </c>
      <c r="F60" s="159">
        <v>4</v>
      </c>
      <c r="G60" s="160">
        <v>65704</v>
      </c>
      <c r="H60" s="160">
        <v>67704</v>
      </c>
      <c r="I60" s="160">
        <v>68720</v>
      </c>
      <c r="J60" s="161">
        <v>70151</v>
      </c>
      <c r="K60" s="160">
        <v>71203</v>
      </c>
      <c r="L60" s="161">
        <v>72627</v>
      </c>
      <c r="M60" s="160">
        <v>75677</v>
      </c>
      <c r="N60" s="160"/>
      <c r="O60" s="160"/>
      <c r="P60" s="160"/>
      <c r="Q60" s="162"/>
    </row>
    <row r="61" spans="1:17">
      <c r="A61" s="43"/>
      <c r="B61" s="149" t="str">
        <f t="shared" si="0"/>
        <v>HEO_HEO Level 5_1</v>
      </c>
      <c r="C61" s="48" t="s">
        <v>95</v>
      </c>
      <c r="D61" s="48" t="s">
        <v>87</v>
      </c>
      <c r="E61" s="48" t="s">
        <v>96</v>
      </c>
      <c r="F61" s="156">
        <v>1</v>
      </c>
      <c r="G61" s="54">
        <v>67262</v>
      </c>
      <c r="H61" s="54">
        <v>69262</v>
      </c>
      <c r="I61" s="54">
        <v>70301</v>
      </c>
      <c r="J61" s="55">
        <v>71756</v>
      </c>
      <c r="K61" s="54">
        <v>72832</v>
      </c>
      <c r="L61" s="55">
        <v>74289</v>
      </c>
      <c r="M61" s="54">
        <v>77409</v>
      </c>
      <c r="N61" s="54"/>
      <c r="O61" s="54"/>
      <c r="P61" s="54"/>
      <c r="Q61" s="153"/>
    </row>
    <row r="62" spans="1:17">
      <c r="A62" s="43"/>
      <c r="B62" s="149" t="str">
        <f t="shared" si="0"/>
        <v>HEO_HEO Level 5_2</v>
      </c>
      <c r="C62" s="48" t="s">
        <v>95</v>
      </c>
      <c r="D62" s="48" t="s">
        <v>87</v>
      </c>
      <c r="E62" s="48" t="s">
        <v>96</v>
      </c>
      <c r="F62" s="156">
        <v>2</v>
      </c>
      <c r="G62" s="54">
        <v>69598</v>
      </c>
      <c r="H62" s="54">
        <v>71598</v>
      </c>
      <c r="I62" s="54">
        <v>72672</v>
      </c>
      <c r="J62" s="55">
        <v>74162</v>
      </c>
      <c r="K62" s="54">
        <v>75274</v>
      </c>
      <c r="L62" s="55">
        <v>76779</v>
      </c>
      <c r="M62" s="54">
        <v>80004</v>
      </c>
      <c r="N62" s="54"/>
      <c r="O62" s="54"/>
      <c r="P62" s="54"/>
      <c r="Q62" s="153"/>
    </row>
    <row r="63" spans="1:17">
      <c r="A63" s="43"/>
      <c r="B63" s="149" t="str">
        <f t="shared" si="0"/>
        <v>HEO_HEO Level 5_3</v>
      </c>
      <c r="C63" s="48" t="s">
        <v>95</v>
      </c>
      <c r="D63" s="48" t="s">
        <v>87</v>
      </c>
      <c r="E63" s="48" t="s">
        <v>96</v>
      </c>
      <c r="F63" s="156">
        <v>3</v>
      </c>
      <c r="G63" s="54">
        <v>72199</v>
      </c>
      <c r="H63" s="54">
        <v>74199</v>
      </c>
      <c r="I63" s="54">
        <v>75312</v>
      </c>
      <c r="J63" s="55">
        <v>76842</v>
      </c>
      <c r="K63" s="54">
        <v>77995</v>
      </c>
      <c r="L63" s="55">
        <v>79555</v>
      </c>
      <c r="M63" s="54">
        <v>82896</v>
      </c>
      <c r="N63" s="54"/>
      <c r="O63" s="54"/>
      <c r="P63" s="54"/>
      <c r="Q63" s="153"/>
    </row>
    <row r="64" spans="1:17">
      <c r="A64" s="43"/>
      <c r="B64" s="157" t="str">
        <f t="shared" si="0"/>
        <v>HEO_HEO Level 5_4</v>
      </c>
      <c r="C64" s="158" t="s">
        <v>95</v>
      </c>
      <c r="D64" s="158" t="s">
        <v>87</v>
      </c>
      <c r="E64" s="158" t="s">
        <v>96</v>
      </c>
      <c r="F64" s="159">
        <v>4</v>
      </c>
      <c r="G64" s="160">
        <v>75057</v>
      </c>
      <c r="H64" s="160">
        <v>77057</v>
      </c>
      <c r="I64" s="160">
        <v>78213</v>
      </c>
      <c r="J64" s="161">
        <v>79786</v>
      </c>
      <c r="K64" s="160">
        <v>80983</v>
      </c>
      <c r="L64" s="161">
        <v>82603</v>
      </c>
      <c r="M64" s="160">
        <v>86072</v>
      </c>
      <c r="N64" s="160"/>
      <c r="O64" s="160"/>
      <c r="P64" s="160"/>
      <c r="Q64" s="162"/>
    </row>
    <row r="65" spans="1:17">
      <c r="A65" s="43"/>
      <c r="B65" s="149" t="str">
        <f t="shared" si="0"/>
        <v>HEO_HEO Level 5/6_1</v>
      </c>
      <c r="C65" s="48" t="s">
        <v>97</v>
      </c>
      <c r="D65" s="48" t="s">
        <v>87</v>
      </c>
      <c r="E65" s="48" t="s">
        <v>98</v>
      </c>
      <c r="F65" s="156">
        <v>1</v>
      </c>
      <c r="G65" s="54">
        <v>61808</v>
      </c>
      <c r="H65" s="54">
        <v>63808</v>
      </c>
      <c r="I65" s="54">
        <v>64765</v>
      </c>
      <c r="J65" s="55">
        <v>66136</v>
      </c>
      <c r="K65" s="54">
        <v>67128</v>
      </c>
      <c r="L65" s="55">
        <v>68471</v>
      </c>
      <c r="M65" s="54">
        <v>71347</v>
      </c>
      <c r="N65" s="54"/>
      <c r="O65" s="54"/>
      <c r="P65" s="54"/>
      <c r="Q65" s="153"/>
    </row>
    <row r="66" spans="1:17">
      <c r="A66" s="43"/>
      <c r="B66" s="149" t="str">
        <f t="shared" si="0"/>
        <v>HEO_HEO Level 5/6_2</v>
      </c>
      <c r="C66" s="48" t="s">
        <v>97</v>
      </c>
      <c r="D66" s="48" t="s">
        <v>87</v>
      </c>
      <c r="E66" s="48" t="s">
        <v>98</v>
      </c>
      <c r="F66" s="156">
        <v>2</v>
      </c>
      <c r="G66" s="54">
        <v>63370</v>
      </c>
      <c r="H66" s="54">
        <v>65370</v>
      </c>
      <c r="I66" s="54">
        <v>66351</v>
      </c>
      <c r="J66" s="55">
        <v>67746</v>
      </c>
      <c r="K66" s="54">
        <v>68762</v>
      </c>
      <c r="L66" s="55">
        <v>70137</v>
      </c>
      <c r="M66" s="54">
        <v>73083</v>
      </c>
      <c r="N66" s="54"/>
      <c r="O66" s="54"/>
      <c r="P66" s="54"/>
      <c r="Q66" s="153"/>
    </row>
    <row r="67" spans="1:17">
      <c r="A67" s="43"/>
      <c r="B67" s="149" t="str">
        <f t="shared" si="0"/>
        <v>HEO_HEO Level 5/6_3</v>
      </c>
      <c r="C67" s="48" t="s">
        <v>97</v>
      </c>
      <c r="D67" s="48" t="s">
        <v>87</v>
      </c>
      <c r="E67" s="48" t="s">
        <v>98</v>
      </c>
      <c r="F67" s="156">
        <v>3</v>
      </c>
      <c r="G67" s="54">
        <v>64925</v>
      </c>
      <c r="H67" s="54">
        <v>66925</v>
      </c>
      <c r="I67" s="54">
        <v>67929</v>
      </c>
      <c r="J67" s="55">
        <v>69348</v>
      </c>
      <c r="K67" s="54">
        <v>70388</v>
      </c>
      <c r="L67" s="55">
        <v>71796</v>
      </c>
      <c r="M67" s="54">
        <v>74811</v>
      </c>
      <c r="N67" s="54"/>
      <c r="O67" s="54"/>
      <c r="P67" s="54"/>
      <c r="Q67" s="153"/>
    </row>
    <row r="68" spans="1:17">
      <c r="A68" s="43"/>
      <c r="B68" s="149" t="str">
        <f t="shared" si="0"/>
        <v>HEO_HEO Level 5/6_4</v>
      </c>
      <c r="C68" s="48" t="s">
        <v>97</v>
      </c>
      <c r="D68" s="48" t="s">
        <v>87</v>
      </c>
      <c r="E68" s="48" t="s">
        <v>98</v>
      </c>
      <c r="F68" s="156">
        <v>4</v>
      </c>
      <c r="G68" s="54">
        <v>75316</v>
      </c>
      <c r="H68" s="54">
        <v>77316</v>
      </c>
      <c r="I68" s="54">
        <v>78476</v>
      </c>
      <c r="J68" s="55">
        <v>80053</v>
      </c>
      <c r="K68" s="54">
        <v>81254</v>
      </c>
      <c r="L68" s="55">
        <v>82879</v>
      </c>
      <c r="M68" s="54">
        <v>86360</v>
      </c>
      <c r="N68" s="54"/>
      <c r="O68" s="54"/>
      <c r="P68" s="54"/>
      <c r="Q68" s="153"/>
    </row>
    <row r="69" spans="1:17">
      <c r="A69" s="43"/>
      <c r="B69" s="149" t="str">
        <f t="shared" si="0"/>
        <v>HEO_HEO Level 5/6_5</v>
      </c>
      <c r="C69" s="48" t="s">
        <v>97</v>
      </c>
      <c r="D69" s="48" t="s">
        <v>87</v>
      </c>
      <c r="E69" s="48" t="s">
        <v>98</v>
      </c>
      <c r="F69" s="156">
        <v>5</v>
      </c>
      <c r="G69" s="54">
        <v>77393</v>
      </c>
      <c r="H69" s="54">
        <v>79393</v>
      </c>
      <c r="I69" s="54">
        <v>80584</v>
      </c>
      <c r="J69" s="55">
        <v>82193</v>
      </c>
      <c r="K69" s="54">
        <v>83426</v>
      </c>
      <c r="L69" s="55">
        <v>85095</v>
      </c>
      <c r="M69" s="54">
        <v>88669</v>
      </c>
      <c r="N69" s="54"/>
      <c r="O69" s="54"/>
      <c r="P69" s="54"/>
      <c r="Q69" s="153"/>
    </row>
    <row r="70" spans="1:17">
      <c r="A70" s="43"/>
      <c r="B70" s="149" t="str">
        <f t="shared" si="0"/>
        <v>HEO_HEO Level 5/6_6</v>
      </c>
      <c r="C70" s="48" t="s">
        <v>97</v>
      </c>
      <c r="D70" s="48" t="s">
        <v>87</v>
      </c>
      <c r="E70" s="48" t="s">
        <v>98</v>
      </c>
      <c r="F70" s="156">
        <v>6</v>
      </c>
      <c r="G70" s="54">
        <v>79473</v>
      </c>
      <c r="H70" s="54">
        <v>81473</v>
      </c>
      <c r="I70" s="54">
        <v>82695</v>
      </c>
      <c r="J70" s="55">
        <v>84335</v>
      </c>
      <c r="K70" s="54">
        <v>85600</v>
      </c>
      <c r="L70" s="55">
        <v>87312</v>
      </c>
      <c r="M70" s="54">
        <v>90979</v>
      </c>
      <c r="N70" s="54"/>
      <c r="O70" s="54"/>
      <c r="P70" s="54"/>
      <c r="Q70" s="153"/>
    </row>
    <row r="71" spans="1:17">
      <c r="A71" s="43"/>
      <c r="B71" s="157" t="str">
        <f t="shared" ref="B71:B126" si="1">D71&amp;"_"&amp;E71&amp;"_"&amp;F71</f>
        <v>HEO_HEO Level 5/6_7</v>
      </c>
      <c r="C71" s="158" t="s">
        <v>97</v>
      </c>
      <c r="D71" s="158" t="s">
        <v>87</v>
      </c>
      <c r="E71" s="158" t="s">
        <v>98</v>
      </c>
      <c r="F71" s="159">
        <v>7</v>
      </c>
      <c r="G71" s="160">
        <v>81548</v>
      </c>
      <c r="H71" s="160">
        <v>83548</v>
      </c>
      <c r="I71" s="160">
        <v>84801</v>
      </c>
      <c r="J71" s="161">
        <v>86473</v>
      </c>
      <c r="K71" s="160">
        <v>87770</v>
      </c>
      <c r="L71" s="161">
        <v>89525</v>
      </c>
      <c r="M71" s="160">
        <v>93285</v>
      </c>
      <c r="N71" s="160"/>
      <c r="O71" s="160"/>
      <c r="P71" s="160"/>
      <c r="Q71" s="162"/>
    </row>
    <row r="72" spans="1:17">
      <c r="A72" s="43"/>
      <c r="B72" s="149" t="str">
        <f t="shared" si="1"/>
        <v>HEO_HEO Level 6_1</v>
      </c>
      <c r="C72" s="48" t="s">
        <v>99</v>
      </c>
      <c r="D72" s="48" t="s">
        <v>87</v>
      </c>
      <c r="E72" s="48" t="s">
        <v>100</v>
      </c>
      <c r="F72" s="156">
        <v>1</v>
      </c>
      <c r="G72" s="54">
        <v>75316</v>
      </c>
      <c r="H72" s="54">
        <v>77316</v>
      </c>
      <c r="I72" s="54">
        <v>78476</v>
      </c>
      <c r="J72" s="55">
        <v>80053</v>
      </c>
      <c r="K72" s="54">
        <v>81254</v>
      </c>
      <c r="L72" s="55">
        <v>82879</v>
      </c>
      <c r="M72" s="54">
        <v>86360</v>
      </c>
      <c r="N72" s="54"/>
      <c r="O72" s="54"/>
      <c r="P72" s="54"/>
      <c r="Q72" s="153"/>
    </row>
    <row r="73" spans="1:17">
      <c r="A73" s="43"/>
      <c r="B73" s="149" t="str">
        <f t="shared" si="1"/>
        <v>HEO_HEO Level 6_2</v>
      </c>
      <c r="C73" s="48" t="s">
        <v>99</v>
      </c>
      <c r="D73" s="48" t="s">
        <v>87</v>
      </c>
      <c r="E73" s="48" t="s">
        <v>100</v>
      </c>
      <c r="F73" s="156">
        <v>2</v>
      </c>
      <c r="G73" s="54">
        <v>77393</v>
      </c>
      <c r="H73" s="54">
        <v>79393</v>
      </c>
      <c r="I73" s="54">
        <v>80584</v>
      </c>
      <c r="J73" s="55">
        <v>82193</v>
      </c>
      <c r="K73" s="54">
        <v>83426</v>
      </c>
      <c r="L73" s="55">
        <v>85095</v>
      </c>
      <c r="M73" s="54">
        <v>88669</v>
      </c>
      <c r="N73" s="54"/>
      <c r="O73" s="54"/>
      <c r="P73" s="54"/>
      <c r="Q73" s="153"/>
    </row>
    <row r="74" spans="1:17">
      <c r="A74" s="43"/>
      <c r="B74" s="149" t="str">
        <f t="shared" si="1"/>
        <v>HEO_HEO Level 6_3</v>
      </c>
      <c r="C74" s="48" t="s">
        <v>99</v>
      </c>
      <c r="D74" s="48" t="s">
        <v>87</v>
      </c>
      <c r="E74" s="48" t="s">
        <v>100</v>
      </c>
      <c r="F74" s="156">
        <v>3</v>
      </c>
      <c r="G74" s="54">
        <v>79473</v>
      </c>
      <c r="H74" s="54">
        <v>81473</v>
      </c>
      <c r="I74" s="54">
        <v>82695</v>
      </c>
      <c r="J74" s="55">
        <v>84335</v>
      </c>
      <c r="K74" s="54">
        <v>85600</v>
      </c>
      <c r="L74" s="55">
        <v>87312</v>
      </c>
      <c r="M74" s="54">
        <v>90979</v>
      </c>
      <c r="N74" s="54"/>
      <c r="O74" s="54"/>
      <c r="P74" s="54"/>
      <c r="Q74" s="153"/>
    </row>
    <row r="75" spans="1:17">
      <c r="A75" s="43"/>
      <c r="B75" s="157" t="str">
        <f t="shared" si="1"/>
        <v>HEO_HEO Level 6_4</v>
      </c>
      <c r="C75" s="158" t="s">
        <v>99</v>
      </c>
      <c r="D75" s="158" t="s">
        <v>87</v>
      </c>
      <c r="E75" s="158" t="s">
        <v>100</v>
      </c>
      <c r="F75" s="159">
        <v>4</v>
      </c>
      <c r="G75" s="160">
        <v>81548</v>
      </c>
      <c r="H75" s="160">
        <v>83548</v>
      </c>
      <c r="I75" s="160">
        <v>84801</v>
      </c>
      <c r="J75" s="161">
        <v>86473</v>
      </c>
      <c r="K75" s="160">
        <v>87770</v>
      </c>
      <c r="L75" s="161">
        <v>89525</v>
      </c>
      <c r="M75" s="160">
        <v>93285</v>
      </c>
      <c r="N75" s="160"/>
      <c r="O75" s="160"/>
      <c r="P75" s="160"/>
      <c r="Q75" s="162"/>
    </row>
    <row r="76" spans="1:17">
      <c r="A76" s="43"/>
      <c r="B76" s="149" t="str">
        <f t="shared" si="1"/>
        <v>HEO_HEO Level 7_1</v>
      </c>
      <c r="C76" s="48" t="s">
        <v>101</v>
      </c>
      <c r="D76" s="48" t="s">
        <v>87</v>
      </c>
      <c r="E76" s="48" t="s">
        <v>102</v>
      </c>
      <c r="F76" s="156">
        <v>1</v>
      </c>
      <c r="G76" s="54">
        <v>83105</v>
      </c>
      <c r="H76" s="54">
        <v>85105</v>
      </c>
      <c r="I76" s="54">
        <v>86382</v>
      </c>
      <c r="J76" s="55">
        <v>88078</v>
      </c>
      <c r="K76" s="54">
        <v>89399</v>
      </c>
      <c r="L76" s="55">
        <v>91187</v>
      </c>
      <c r="M76" s="54">
        <v>95017</v>
      </c>
      <c r="N76" s="54"/>
      <c r="O76" s="54"/>
      <c r="P76" s="54"/>
      <c r="Q76" s="153"/>
    </row>
    <row r="77" spans="1:17">
      <c r="A77" s="43"/>
      <c r="B77" s="149" t="str">
        <f t="shared" si="1"/>
        <v>HEO_HEO Level 7_2</v>
      </c>
      <c r="C77" s="48" t="s">
        <v>101</v>
      </c>
      <c r="D77" s="48" t="s">
        <v>87</v>
      </c>
      <c r="E77" s="48" t="s">
        <v>102</v>
      </c>
      <c r="F77" s="156">
        <v>2</v>
      </c>
      <c r="G77" s="54">
        <v>85441</v>
      </c>
      <c r="H77" s="54">
        <v>87441</v>
      </c>
      <c r="I77" s="54">
        <v>88753</v>
      </c>
      <c r="J77" s="55">
        <v>90484</v>
      </c>
      <c r="K77" s="54">
        <v>91841</v>
      </c>
      <c r="L77" s="55">
        <v>93678</v>
      </c>
      <c r="M77" s="54">
        <v>97612</v>
      </c>
      <c r="N77" s="54"/>
      <c r="O77" s="54"/>
      <c r="P77" s="54"/>
      <c r="Q77" s="153"/>
    </row>
    <row r="78" spans="1:17">
      <c r="A78" s="43"/>
      <c r="B78" s="149" t="str">
        <f t="shared" si="1"/>
        <v>HEO_HEO Level 7_3</v>
      </c>
      <c r="C78" s="48" t="s">
        <v>101</v>
      </c>
      <c r="D78" s="48" t="s">
        <v>87</v>
      </c>
      <c r="E78" s="48" t="s">
        <v>102</v>
      </c>
      <c r="F78" s="156">
        <v>3</v>
      </c>
      <c r="G78" s="54">
        <v>88038</v>
      </c>
      <c r="H78" s="54">
        <v>90038</v>
      </c>
      <c r="I78" s="54">
        <v>91389</v>
      </c>
      <c r="J78" s="55">
        <v>93160</v>
      </c>
      <c r="K78" s="54">
        <v>94557</v>
      </c>
      <c r="L78" s="55">
        <v>96448</v>
      </c>
      <c r="M78" s="54">
        <v>100499</v>
      </c>
      <c r="N78" s="54"/>
      <c r="O78" s="54"/>
      <c r="P78" s="54"/>
      <c r="Q78" s="153"/>
    </row>
    <row r="79" spans="1:17">
      <c r="A79" s="43"/>
      <c r="B79" s="149" t="str">
        <f t="shared" si="1"/>
        <v>HEO_HEO Level 7_4</v>
      </c>
      <c r="C79" s="48" t="s">
        <v>101</v>
      </c>
      <c r="D79" s="48" t="s">
        <v>87</v>
      </c>
      <c r="E79" s="48" t="s">
        <v>102</v>
      </c>
      <c r="F79" s="156">
        <v>4</v>
      </c>
      <c r="G79" s="54">
        <v>90639</v>
      </c>
      <c r="H79" s="54">
        <v>92639</v>
      </c>
      <c r="I79" s="54">
        <v>94029</v>
      </c>
      <c r="J79" s="55">
        <v>95839</v>
      </c>
      <c r="K79" s="54">
        <v>97277</v>
      </c>
      <c r="L79" s="55">
        <v>99223</v>
      </c>
      <c r="M79" s="54">
        <v>103390</v>
      </c>
      <c r="N79" s="54"/>
      <c r="O79" s="54"/>
      <c r="P79" s="54"/>
      <c r="Q79" s="153"/>
    </row>
    <row r="80" spans="1:17">
      <c r="A80" s="43"/>
      <c r="B80" s="157" t="str">
        <f t="shared" si="1"/>
        <v>HEO_HEO Level 7_5</v>
      </c>
      <c r="C80" s="158" t="s">
        <v>101</v>
      </c>
      <c r="D80" s="158" t="s">
        <v>87</v>
      </c>
      <c r="E80" s="158" t="s">
        <v>102</v>
      </c>
      <c r="F80" s="159">
        <v>5</v>
      </c>
      <c r="G80" s="160">
        <v>93231</v>
      </c>
      <c r="H80" s="160">
        <v>95231</v>
      </c>
      <c r="I80" s="160">
        <v>96659</v>
      </c>
      <c r="J80" s="161">
        <v>98509</v>
      </c>
      <c r="K80" s="160">
        <v>99987</v>
      </c>
      <c r="L80" s="161">
        <v>101987</v>
      </c>
      <c r="M80" s="160">
        <v>106270</v>
      </c>
      <c r="N80" s="160"/>
      <c r="O80" s="160"/>
      <c r="P80" s="160"/>
      <c r="Q80" s="162"/>
    </row>
    <row r="81" spans="1:17">
      <c r="A81" s="43"/>
      <c r="B81" s="149" t="str">
        <f t="shared" si="1"/>
        <v>HEO_HEO Level 8_1</v>
      </c>
      <c r="C81" s="48" t="s">
        <v>103</v>
      </c>
      <c r="D81" s="48" t="s">
        <v>87</v>
      </c>
      <c r="E81" s="48" t="s">
        <v>104</v>
      </c>
      <c r="F81" s="156">
        <v>1</v>
      </c>
      <c r="G81" s="54">
        <v>93493</v>
      </c>
      <c r="H81" s="54">
        <v>95493</v>
      </c>
      <c r="I81" s="54">
        <v>96925</v>
      </c>
      <c r="J81" s="55">
        <v>98779</v>
      </c>
      <c r="K81" s="54">
        <v>100261</v>
      </c>
      <c r="L81" s="55">
        <v>102266</v>
      </c>
      <c r="M81" s="54">
        <v>106561</v>
      </c>
      <c r="N81" s="54"/>
      <c r="O81" s="54"/>
      <c r="P81" s="54"/>
      <c r="Q81" s="153"/>
    </row>
    <row r="82" spans="1:17">
      <c r="A82" s="43"/>
      <c r="B82" s="149" t="str">
        <f t="shared" si="1"/>
        <v>HEO_HEO Level 8_2</v>
      </c>
      <c r="C82" s="48" t="s">
        <v>103</v>
      </c>
      <c r="D82" s="48" t="s">
        <v>87</v>
      </c>
      <c r="E82" s="48" t="s">
        <v>104</v>
      </c>
      <c r="F82" s="156">
        <v>2</v>
      </c>
      <c r="G82" s="54">
        <v>96092</v>
      </c>
      <c r="H82" s="54">
        <v>98092</v>
      </c>
      <c r="I82" s="54">
        <v>99563</v>
      </c>
      <c r="J82" s="55">
        <v>101456</v>
      </c>
      <c r="K82" s="54">
        <v>102978</v>
      </c>
      <c r="L82" s="55">
        <v>105038</v>
      </c>
      <c r="M82" s="54">
        <v>109450</v>
      </c>
      <c r="N82" s="54"/>
      <c r="O82" s="54"/>
      <c r="P82" s="54"/>
      <c r="Q82" s="153"/>
    </row>
    <row r="83" spans="1:17">
      <c r="A83" s="43"/>
      <c r="B83" s="149" t="str">
        <f t="shared" si="1"/>
        <v>HEO_HEO Level 8_3</v>
      </c>
      <c r="C83" s="48" t="s">
        <v>103</v>
      </c>
      <c r="D83" s="48" t="s">
        <v>87</v>
      </c>
      <c r="E83" s="48" t="s">
        <v>104</v>
      </c>
      <c r="F83" s="156">
        <v>3</v>
      </c>
      <c r="G83" s="54">
        <v>98690</v>
      </c>
      <c r="H83" s="54">
        <v>100690</v>
      </c>
      <c r="I83" s="54">
        <v>102200</v>
      </c>
      <c r="J83" s="55">
        <v>104133</v>
      </c>
      <c r="K83" s="54">
        <v>105695</v>
      </c>
      <c r="L83" s="55">
        <v>107809</v>
      </c>
      <c r="M83" s="54">
        <v>112337</v>
      </c>
      <c r="N83" s="54"/>
      <c r="O83" s="54"/>
      <c r="P83" s="54"/>
      <c r="Q83" s="153"/>
    </row>
    <row r="84" spans="1:17">
      <c r="A84" s="43"/>
      <c r="B84" s="149" t="str">
        <f t="shared" si="1"/>
        <v>HEO_HEO Level 8_4</v>
      </c>
      <c r="C84" s="48" t="s">
        <v>103</v>
      </c>
      <c r="D84" s="48" t="s">
        <v>87</v>
      </c>
      <c r="E84" s="48" t="s">
        <v>104</v>
      </c>
      <c r="F84" s="156">
        <v>4</v>
      </c>
      <c r="G84" s="54">
        <v>101801</v>
      </c>
      <c r="H84" s="54">
        <v>103801</v>
      </c>
      <c r="I84" s="54">
        <v>105358</v>
      </c>
      <c r="J84" s="55">
        <v>107338</v>
      </c>
      <c r="K84" s="54">
        <v>108948</v>
      </c>
      <c r="L84" s="55">
        <v>111127</v>
      </c>
      <c r="M84" s="54">
        <v>115794</v>
      </c>
      <c r="N84" s="54"/>
      <c r="O84" s="54"/>
      <c r="P84" s="54"/>
      <c r="Q84" s="153"/>
    </row>
    <row r="85" spans="1:17">
      <c r="A85" s="43"/>
      <c r="B85" s="157" t="str">
        <f t="shared" si="1"/>
        <v>HEO_HEO Level 8_5</v>
      </c>
      <c r="C85" s="158" t="s">
        <v>103</v>
      </c>
      <c r="D85" s="158" t="s">
        <v>87</v>
      </c>
      <c r="E85" s="158" t="s">
        <v>104</v>
      </c>
      <c r="F85" s="159">
        <v>5</v>
      </c>
      <c r="G85" s="160">
        <v>105179</v>
      </c>
      <c r="H85" s="160">
        <v>107179</v>
      </c>
      <c r="I85" s="160">
        <v>108787</v>
      </c>
      <c r="J85" s="161">
        <v>110819</v>
      </c>
      <c r="K85" s="160">
        <v>112481</v>
      </c>
      <c r="L85" s="161">
        <v>114731</v>
      </c>
      <c r="M85" s="160">
        <v>119550</v>
      </c>
      <c r="N85" s="160"/>
      <c r="O85" s="160"/>
      <c r="P85" s="160"/>
      <c r="Q85" s="162"/>
    </row>
    <row r="86" spans="1:17">
      <c r="A86" s="43"/>
      <c r="B86" s="149" t="str">
        <f t="shared" si="1"/>
        <v>HEO_HEO Level 9_1</v>
      </c>
      <c r="C86" s="48" t="s">
        <v>106</v>
      </c>
      <c r="D86" s="48" t="s">
        <v>87</v>
      </c>
      <c r="E86" s="48" t="s">
        <v>107</v>
      </c>
      <c r="F86" s="156">
        <v>1</v>
      </c>
      <c r="G86" s="54">
        <v>109077</v>
      </c>
      <c r="H86" s="54">
        <v>111077</v>
      </c>
      <c r="I86" s="54">
        <v>112743</v>
      </c>
      <c r="J86" s="55">
        <v>114834</v>
      </c>
      <c r="K86" s="54">
        <v>116557</v>
      </c>
      <c r="L86" s="55">
        <v>118888</v>
      </c>
      <c r="M86" s="54">
        <v>123881</v>
      </c>
      <c r="N86" s="54"/>
      <c r="O86" s="54"/>
      <c r="P86" s="54"/>
      <c r="Q86" s="153"/>
    </row>
    <row r="87" spans="1:17">
      <c r="A87" s="43"/>
      <c r="B87" s="149" t="str">
        <f t="shared" si="1"/>
        <v>HEO_HEO Level 9_2</v>
      </c>
      <c r="C87" s="48" t="s">
        <v>106</v>
      </c>
      <c r="D87" s="48" t="s">
        <v>87</v>
      </c>
      <c r="E87" s="48" t="s">
        <v>107</v>
      </c>
      <c r="F87" s="156">
        <v>2</v>
      </c>
      <c r="G87" s="54">
        <v>112709</v>
      </c>
      <c r="H87" s="54">
        <v>114709</v>
      </c>
      <c r="I87" s="54">
        <v>116430</v>
      </c>
      <c r="J87" s="55">
        <v>118576</v>
      </c>
      <c r="K87" s="54">
        <v>120355</v>
      </c>
      <c r="L87" s="55">
        <v>122762</v>
      </c>
      <c r="M87" s="54">
        <v>127918</v>
      </c>
      <c r="N87" s="54"/>
      <c r="O87" s="54"/>
      <c r="P87" s="54"/>
      <c r="Q87" s="153"/>
    </row>
    <row r="88" spans="1:17">
      <c r="A88" s="43"/>
      <c r="B88" s="157" t="str">
        <f t="shared" si="1"/>
        <v>HEO_HEO Level 9_3</v>
      </c>
      <c r="C88" s="158" t="s">
        <v>106</v>
      </c>
      <c r="D88" s="158" t="s">
        <v>87</v>
      </c>
      <c r="E88" s="158" t="s">
        <v>107</v>
      </c>
      <c r="F88" s="159">
        <v>3</v>
      </c>
      <c r="G88" s="160">
        <v>116862</v>
      </c>
      <c r="H88" s="160">
        <v>118862</v>
      </c>
      <c r="I88" s="160">
        <v>120645</v>
      </c>
      <c r="J88" s="161">
        <v>122855</v>
      </c>
      <c r="K88" s="160">
        <v>124698</v>
      </c>
      <c r="L88" s="161">
        <v>127192</v>
      </c>
      <c r="M88" s="160">
        <v>132534</v>
      </c>
      <c r="N88" s="160"/>
      <c r="O88" s="160"/>
      <c r="P88" s="160"/>
      <c r="Q88" s="162"/>
    </row>
    <row r="89" spans="1:17">
      <c r="A89" s="43"/>
      <c r="B89" s="149" t="str">
        <f t="shared" si="1"/>
        <v>HEO_HEO Level 10_1</v>
      </c>
      <c r="C89" s="48" t="s">
        <v>108</v>
      </c>
      <c r="D89" s="48" t="s">
        <v>87</v>
      </c>
      <c r="E89" s="48" t="s">
        <v>109</v>
      </c>
      <c r="F89" s="156">
        <v>1</v>
      </c>
      <c r="G89" s="54">
        <v>120720</v>
      </c>
      <c r="H89" s="54">
        <v>122720</v>
      </c>
      <c r="I89" s="54">
        <v>124561</v>
      </c>
      <c r="J89" s="55">
        <v>126829</v>
      </c>
      <c r="K89" s="54">
        <v>128731</v>
      </c>
      <c r="L89" s="55">
        <v>131306</v>
      </c>
      <c r="M89" s="54">
        <v>136821</v>
      </c>
      <c r="N89" s="54"/>
      <c r="O89" s="54"/>
      <c r="P89" s="54"/>
      <c r="Q89" s="153"/>
    </row>
    <row r="90" spans="1:17">
      <c r="A90" s="43"/>
      <c r="B90" s="149" t="str">
        <f t="shared" si="1"/>
        <v>HEO_HEO Level 10_2</v>
      </c>
      <c r="C90" s="48" t="s">
        <v>108</v>
      </c>
      <c r="D90" s="48" t="s">
        <v>87</v>
      </c>
      <c r="E90" s="48" t="s">
        <v>109</v>
      </c>
      <c r="F90" s="156">
        <v>2</v>
      </c>
      <c r="G90" s="54">
        <v>124704</v>
      </c>
      <c r="H90" s="54">
        <v>126704</v>
      </c>
      <c r="I90" s="54">
        <v>128605</v>
      </c>
      <c r="J90" s="55">
        <v>130934</v>
      </c>
      <c r="K90" s="54">
        <v>132898</v>
      </c>
      <c r="L90" s="55">
        <v>135556</v>
      </c>
      <c r="M90" s="54">
        <v>141249</v>
      </c>
      <c r="N90" s="54"/>
      <c r="O90" s="54"/>
      <c r="P90" s="54"/>
      <c r="Q90" s="153"/>
    </row>
    <row r="91" spans="1:17">
      <c r="A91" s="43"/>
      <c r="B91" s="157" t="str">
        <f t="shared" si="1"/>
        <v>HEO_HEO Level 10_3</v>
      </c>
      <c r="C91" s="158" t="s">
        <v>108</v>
      </c>
      <c r="D91" s="158" t="s">
        <v>87</v>
      </c>
      <c r="E91" s="158" t="s">
        <v>109</v>
      </c>
      <c r="F91" s="159">
        <v>3</v>
      </c>
      <c r="G91" s="160">
        <v>128819</v>
      </c>
      <c r="H91" s="160">
        <v>130819</v>
      </c>
      <c r="I91" s="160">
        <v>132781</v>
      </c>
      <c r="J91" s="161">
        <v>135173</v>
      </c>
      <c r="K91" s="160">
        <v>137201</v>
      </c>
      <c r="L91" s="161">
        <v>139945</v>
      </c>
      <c r="M91" s="160">
        <v>145823</v>
      </c>
      <c r="N91" s="160"/>
      <c r="O91" s="160"/>
      <c r="P91" s="160"/>
      <c r="Q91" s="162"/>
    </row>
    <row r="92" spans="1:17">
      <c r="A92" s="43"/>
      <c r="B92" s="149" t="str">
        <f t="shared" si="1"/>
        <v>SNR_Senior Manager 1_</v>
      </c>
      <c r="C92" s="48" t="s">
        <v>108</v>
      </c>
      <c r="D92" s="48" t="s">
        <v>110</v>
      </c>
      <c r="E92" s="48" t="s">
        <v>111</v>
      </c>
      <c r="F92" s="156"/>
      <c r="G92" s="54">
        <v>138446</v>
      </c>
      <c r="H92" s="54">
        <v>140446</v>
      </c>
      <c r="I92" s="54">
        <v>142553</v>
      </c>
      <c r="J92" s="55">
        <v>145091</v>
      </c>
      <c r="K92" s="54">
        <v>147267</v>
      </c>
      <c r="L92" s="55">
        <v>150212</v>
      </c>
      <c r="M92" s="54">
        <v>156521</v>
      </c>
      <c r="N92" s="54"/>
      <c r="O92" s="54"/>
      <c r="P92" s="54"/>
      <c r="Q92" s="153"/>
    </row>
    <row r="93" spans="1:17">
      <c r="A93" s="43"/>
      <c r="B93" s="149" t="str">
        <f t="shared" si="1"/>
        <v>SNR_Senior Manager 2_</v>
      </c>
      <c r="C93" s="48" t="s">
        <v>112</v>
      </c>
      <c r="D93" s="48" t="s">
        <v>110</v>
      </c>
      <c r="E93" s="48" t="s">
        <v>113</v>
      </c>
      <c r="F93" s="156"/>
      <c r="G93" s="54">
        <v>155467</v>
      </c>
      <c r="H93" s="54">
        <v>157467</v>
      </c>
      <c r="I93" s="54">
        <v>159829</v>
      </c>
      <c r="J93" s="55">
        <v>162626</v>
      </c>
      <c r="K93" s="54">
        <v>165065</v>
      </c>
      <c r="L93" s="55">
        <v>168366</v>
      </c>
      <c r="M93" s="54">
        <v>175437</v>
      </c>
      <c r="N93" s="54"/>
      <c r="O93" s="54"/>
      <c r="P93" s="54"/>
      <c r="Q93" s="153"/>
    </row>
    <row r="94" spans="1:17">
      <c r="A94" s="43"/>
      <c r="B94" s="157" t="str">
        <f t="shared" si="1"/>
        <v>SNR_Senior Manager 3_</v>
      </c>
      <c r="C94" s="158" t="s">
        <v>114</v>
      </c>
      <c r="D94" s="158" t="s">
        <v>110</v>
      </c>
      <c r="E94" s="158" t="s">
        <v>115</v>
      </c>
      <c r="F94" s="159"/>
      <c r="G94" s="160">
        <v>166099</v>
      </c>
      <c r="H94" s="160">
        <v>168099</v>
      </c>
      <c r="I94" s="160">
        <v>170620</v>
      </c>
      <c r="J94" s="161">
        <v>173579</v>
      </c>
      <c r="K94" s="160">
        <v>176183</v>
      </c>
      <c r="L94" s="161">
        <v>179707</v>
      </c>
      <c r="M94" s="160">
        <v>187255</v>
      </c>
      <c r="N94" s="160"/>
      <c r="O94" s="160"/>
      <c r="P94" s="160"/>
      <c r="Q94" s="162"/>
    </row>
    <row r="95" spans="1:17">
      <c r="A95" s="43"/>
      <c r="B95" s="149" t="str">
        <f t="shared" si="1"/>
        <v>ELT_English Language Teachers A-C_1</v>
      </c>
      <c r="C95" s="48" t="s">
        <v>116</v>
      </c>
      <c r="D95" s="48" t="s">
        <v>117</v>
      </c>
      <c r="E95" s="48" t="s">
        <v>118</v>
      </c>
      <c r="F95" s="156">
        <v>1</v>
      </c>
      <c r="G95" s="54">
        <v>62177</v>
      </c>
      <c r="H95" s="54">
        <v>64177</v>
      </c>
      <c r="I95" s="54">
        <v>65140</v>
      </c>
      <c r="J95" s="55">
        <v>66517</v>
      </c>
      <c r="K95" s="54">
        <v>67515</v>
      </c>
      <c r="L95" s="55">
        <v>68865</v>
      </c>
      <c r="M95" s="54">
        <v>71757</v>
      </c>
      <c r="N95" s="54"/>
      <c r="O95" s="54"/>
      <c r="P95" s="54"/>
      <c r="Q95" s="153"/>
    </row>
    <row r="96" spans="1:17">
      <c r="A96" s="43"/>
      <c r="B96" s="149" t="str">
        <f t="shared" si="1"/>
        <v>ELT_English Language Teachers A-C_2</v>
      </c>
      <c r="C96" s="48" t="s">
        <v>116</v>
      </c>
      <c r="D96" s="48" t="s">
        <v>117</v>
      </c>
      <c r="E96" s="48" t="s">
        <v>118</v>
      </c>
      <c r="F96" s="156">
        <v>2</v>
      </c>
      <c r="G96" s="54">
        <v>63336</v>
      </c>
      <c r="H96" s="54">
        <v>65336</v>
      </c>
      <c r="I96" s="54">
        <v>66316</v>
      </c>
      <c r="J96" s="55">
        <v>67711</v>
      </c>
      <c r="K96" s="54">
        <v>68727</v>
      </c>
      <c r="L96" s="55">
        <v>70102</v>
      </c>
      <c r="M96" s="54">
        <v>73046</v>
      </c>
      <c r="N96" s="54"/>
      <c r="O96" s="54"/>
      <c r="P96" s="54"/>
      <c r="Q96" s="153"/>
    </row>
    <row r="97" spans="1:17">
      <c r="A97" s="43"/>
      <c r="B97" s="149" t="str">
        <f t="shared" si="1"/>
        <v>ELT_English Language Teachers A-C_3</v>
      </c>
      <c r="C97" s="48" t="s">
        <v>116</v>
      </c>
      <c r="D97" s="48" t="s">
        <v>117</v>
      </c>
      <c r="E97" s="48" t="s">
        <v>118</v>
      </c>
      <c r="F97" s="156">
        <v>3</v>
      </c>
      <c r="G97" s="54">
        <v>65656</v>
      </c>
      <c r="H97" s="54">
        <v>67656</v>
      </c>
      <c r="I97" s="54">
        <v>68671</v>
      </c>
      <c r="J97" s="55">
        <v>70101</v>
      </c>
      <c r="K97" s="54">
        <v>71153</v>
      </c>
      <c r="L97" s="55">
        <v>72576</v>
      </c>
      <c r="M97" s="54">
        <v>75624</v>
      </c>
      <c r="N97" s="54"/>
      <c r="O97" s="54"/>
      <c r="P97" s="54"/>
      <c r="Q97" s="153"/>
    </row>
    <row r="98" spans="1:17">
      <c r="A98" s="43"/>
      <c r="B98" s="149" t="str">
        <f t="shared" si="1"/>
        <v>ELT_English Language Teachers A-C_4</v>
      </c>
      <c r="C98" s="48" t="s">
        <v>116</v>
      </c>
      <c r="D98" s="48" t="s">
        <v>117</v>
      </c>
      <c r="E98" s="48" t="s">
        <v>118</v>
      </c>
      <c r="F98" s="156">
        <v>4</v>
      </c>
      <c r="G98" s="54">
        <v>68029</v>
      </c>
      <c r="H98" s="54">
        <v>70029</v>
      </c>
      <c r="I98" s="54">
        <v>71079</v>
      </c>
      <c r="J98" s="55">
        <v>72545</v>
      </c>
      <c r="K98" s="54">
        <v>73633</v>
      </c>
      <c r="L98" s="55">
        <v>75106</v>
      </c>
      <c r="M98" s="54">
        <v>78260</v>
      </c>
      <c r="N98" s="54"/>
      <c r="O98" s="54"/>
      <c r="P98" s="54"/>
      <c r="Q98" s="153"/>
    </row>
    <row r="99" spans="1:17">
      <c r="A99" s="43"/>
      <c r="B99" s="149" t="str">
        <f t="shared" si="1"/>
        <v>ELT_English Language Teachers A-C_5</v>
      </c>
      <c r="C99" s="48" t="s">
        <v>116</v>
      </c>
      <c r="D99" s="48" t="s">
        <v>117</v>
      </c>
      <c r="E99" s="48" t="s">
        <v>118</v>
      </c>
      <c r="F99" s="156">
        <v>5</v>
      </c>
      <c r="G99" s="54">
        <v>71725</v>
      </c>
      <c r="H99" s="54">
        <v>73725</v>
      </c>
      <c r="I99" s="54">
        <v>74831</v>
      </c>
      <c r="J99" s="55">
        <v>76353</v>
      </c>
      <c r="K99" s="54">
        <v>77498</v>
      </c>
      <c r="L99" s="55">
        <v>79048</v>
      </c>
      <c r="M99" s="54">
        <v>82368</v>
      </c>
      <c r="N99" s="54"/>
      <c r="O99" s="54"/>
      <c r="P99" s="54"/>
      <c r="Q99" s="153"/>
    </row>
    <row r="100" spans="1:17">
      <c r="A100" s="43"/>
      <c r="B100" s="149" t="str">
        <f t="shared" si="1"/>
        <v>ELT_English Language Teachers A-C_6</v>
      </c>
      <c r="C100" s="48" t="s">
        <v>116</v>
      </c>
      <c r="D100" s="48" t="s">
        <v>117</v>
      </c>
      <c r="E100" s="48" t="s">
        <v>118</v>
      </c>
      <c r="F100" s="156">
        <v>6</v>
      </c>
      <c r="G100" s="54">
        <v>74188</v>
      </c>
      <c r="H100" s="54">
        <v>76188</v>
      </c>
      <c r="I100" s="54">
        <v>77331</v>
      </c>
      <c r="J100" s="55">
        <v>78891</v>
      </c>
      <c r="K100" s="54">
        <v>80074</v>
      </c>
      <c r="L100" s="55">
        <v>81675</v>
      </c>
      <c r="M100" s="54">
        <v>85105</v>
      </c>
      <c r="N100" s="54"/>
      <c r="O100" s="54"/>
      <c r="P100" s="54"/>
      <c r="Q100" s="153"/>
    </row>
    <row r="101" spans="1:17">
      <c r="A101" s="43"/>
      <c r="B101" s="149" t="str">
        <f t="shared" si="1"/>
        <v>ELT_English Language Teachers A-C_7</v>
      </c>
      <c r="C101" s="48" t="s">
        <v>116</v>
      </c>
      <c r="D101" s="48" t="s">
        <v>117</v>
      </c>
      <c r="E101" s="48" t="s">
        <v>118</v>
      </c>
      <c r="F101" s="156">
        <v>7</v>
      </c>
      <c r="G101" s="54">
        <v>76651</v>
      </c>
      <c r="H101" s="54">
        <v>78651</v>
      </c>
      <c r="I101" s="54">
        <v>79831</v>
      </c>
      <c r="J101" s="55">
        <v>81428</v>
      </c>
      <c r="K101" s="54">
        <v>82649</v>
      </c>
      <c r="L101" s="55">
        <v>84302</v>
      </c>
      <c r="M101" s="54">
        <v>87843</v>
      </c>
      <c r="N101" s="54"/>
      <c r="O101" s="54"/>
      <c r="P101" s="54"/>
      <c r="Q101" s="153"/>
    </row>
    <row r="102" spans="1:17">
      <c r="A102" s="43"/>
      <c r="B102" s="149" t="str">
        <f t="shared" si="1"/>
        <v>ELT_English Language Teachers A-C_8</v>
      </c>
      <c r="C102" s="48" t="s">
        <v>116</v>
      </c>
      <c r="D102" s="48" t="s">
        <v>117</v>
      </c>
      <c r="E102" s="48" t="s">
        <v>118</v>
      </c>
      <c r="F102" s="156">
        <v>8</v>
      </c>
      <c r="G102" s="54">
        <v>79114</v>
      </c>
      <c r="H102" s="54">
        <v>81114</v>
      </c>
      <c r="I102" s="54">
        <v>82331</v>
      </c>
      <c r="J102" s="55">
        <v>83966</v>
      </c>
      <c r="K102" s="54">
        <v>85225</v>
      </c>
      <c r="L102" s="55">
        <v>86930</v>
      </c>
      <c r="M102" s="54">
        <v>90581</v>
      </c>
      <c r="N102" s="54"/>
      <c r="O102" s="54"/>
      <c r="P102" s="54"/>
      <c r="Q102" s="153"/>
    </row>
    <row r="103" spans="1:17">
      <c r="A103" s="43"/>
      <c r="B103" s="149" t="str">
        <f t="shared" si="1"/>
        <v>ELT_English Language Teachers A-C_9</v>
      </c>
      <c r="C103" s="48" t="s">
        <v>116</v>
      </c>
      <c r="D103" s="48" t="s">
        <v>117</v>
      </c>
      <c r="E103" s="48" t="s">
        <v>118</v>
      </c>
      <c r="F103" s="156">
        <v>9</v>
      </c>
      <c r="G103" s="54">
        <v>81826</v>
      </c>
      <c r="H103" s="54">
        <v>83826</v>
      </c>
      <c r="I103" s="54">
        <v>85083</v>
      </c>
      <c r="J103" s="55">
        <v>86759</v>
      </c>
      <c r="K103" s="54">
        <v>88060</v>
      </c>
      <c r="L103" s="55">
        <v>89821</v>
      </c>
      <c r="M103" s="54">
        <v>93593</v>
      </c>
      <c r="N103" s="54"/>
      <c r="O103" s="54"/>
      <c r="P103" s="54"/>
      <c r="Q103" s="153"/>
    </row>
    <row r="104" spans="1:17">
      <c r="A104" s="43"/>
      <c r="B104" s="149" t="str">
        <f t="shared" si="1"/>
        <v>ELT_English Language Teachers A-C_10</v>
      </c>
      <c r="C104" s="48" t="s">
        <v>116</v>
      </c>
      <c r="D104" s="48" t="s">
        <v>117</v>
      </c>
      <c r="E104" s="48" t="s">
        <v>118</v>
      </c>
      <c r="F104" s="156">
        <v>10</v>
      </c>
      <c r="G104" s="54">
        <v>85013</v>
      </c>
      <c r="H104" s="54">
        <v>87013</v>
      </c>
      <c r="I104" s="54">
        <v>88318</v>
      </c>
      <c r="J104" s="55">
        <v>90043</v>
      </c>
      <c r="K104" s="54">
        <v>91394</v>
      </c>
      <c r="L104" s="55">
        <v>93222</v>
      </c>
      <c r="M104" s="54">
        <v>97137</v>
      </c>
      <c r="N104" s="54"/>
      <c r="O104" s="54"/>
      <c r="P104" s="54"/>
      <c r="Q104" s="153"/>
    </row>
    <row r="105" spans="1:17">
      <c r="A105" s="43"/>
      <c r="B105" s="149" t="str">
        <f t="shared" si="1"/>
        <v>ELT_English Language Teachers A-C_11</v>
      </c>
      <c r="C105" s="48" t="s">
        <v>116</v>
      </c>
      <c r="D105" s="48" t="s">
        <v>117</v>
      </c>
      <c r="E105" s="48" t="s">
        <v>118</v>
      </c>
      <c r="F105" s="156">
        <v>11</v>
      </c>
      <c r="G105" s="54">
        <v>87984</v>
      </c>
      <c r="H105" s="54">
        <v>89984</v>
      </c>
      <c r="I105" s="54">
        <v>91334</v>
      </c>
      <c r="J105" s="55">
        <v>93104</v>
      </c>
      <c r="K105" s="54">
        <v>94501</v>
      </c>
      <c r="L105" s="55">
        <v>96391</v>
      </c>
      <c r="M105" s="54">
        <v>100439</v>
      </c>
      <c r="N105" s="54"/>
      <c r="O105" s="54"/>
      <c r="P105" s="54"/>
      <c r="Q105" s="153"/>
    </row>
    <row r="106" spans="1:17">
      <c r="A106" s="43"/>
      <c r="B106" s="157" t="str">
        <f t="shared" si="1"/>
        <v>ELT_English Language Teachers A-C_12</v>
      </c>
      <c r="C106" s="158" t="s">
        <v>116</v>
      </c>
      <c r="D106" s="158" t="s">
        <v>117</v>
      </c>
      <c r="E106" s="158" t="s">
        <v>118</v>
      </c>
      <c r="F106" s="159">
        <v>12</v>
      </c>
      <c r="G106" s="160">
        <v>90600</v>
      </c>
      <c r="H106" s="160">
        <v>92600</v>
      </c>
      <c r="I106" s="160">
        <v>93989</v>
      </c>
      <c r="J106" s="161">
        <v>95799</v>
      </c>
      <c r="K106" s="160">
        <v>97236</v>
      </c>
      <c r="L106" s="161">
        <v>99181</v>
      </c>
      <c r="M106" s="160">
        <v>103347</v>
      </c>
      <c r="N106" s="160"/>
      <c r="O106" s="160"/>
      <c r="P106" s="160"/>
      <c r="Q106" s="162"/>
    </row>
    <row r="107" spans="1:17">
      <c r="A107" s="43"/>
      <c r="B107" s="149" t="str">
        <f t="shared" si="1"/>
        <v>Director of Studies__1</v>
      </c>
      <c r="C107" s="48"/>
      <c r="D107" s="48" t="s">
        <v>119</v>
      </c>
      <c r="E107" s="48"/>
      <c r="F107" s="156">
        <v>1</v>
      </c>
      <c r="G107" s="54">
        <v>96092</v>
      </c>
      <c r="H107" s="54">
        <v>98092</v>
      </c>
      <c r="I107" s="54">
        <v>99563</v>
      </c>
      <c r="J107" s="55">
        <v>101456</v>
      </c>
      <c r="K107" s="54">
        <v>102978</v>
      </c>
      <c r="L107" s="55">
        <v>105038</v>
      </c>
      <c r="M107" s="54">
        <v>109450</v>
      </c>
      <c r="N107" s="54"/>
      <c r="O107" s="54"/>
      <c r="P107" s="54"/>
      <c r="Q107" s="153"/>
    </row>
    <row r="108" spans="1:17">
      <c r="A108" s="43"/>
      <c r="B108" s="149" t="str">
        <f t="shared" si="1"/>
        <v>Director of Studies__2</v>
      </c>
      <c r="C108" s="48"/>
      <c r="D108" s="48" t="s">
        <v>119</v>
      </c>
      <c r="E108" s="48"/>
      <c r="F108" s="156">
        <v>2</v>
      </c>
      <c r="G108" s="54">
        <v>98690</v>
      </c>
      <c r="H108" s="54">
        <v>100690</v>
      </c>
      <c r="I108" s="54">
        <v>102200</v>
      </c>
      <c r="J108" s="55">
        <v>104133</v>
      </c>
      <c r="K108" s="54">
        <v>105695</v>
      </c>
      <c r="L108" s="55">
        <v>107809</v>
      </c>
      <c r="M108" s="54">
        <v>112337</v>
      </c>
      <c r="N108" s="54"/>
      <c r="O108" s="54"/>
      <c r="P108" s="54"/>
      <c r="Q108" s="153"/>
    </row>
    <row r="109" spans="1:17">
      <c r="A109" s="43"/>
      <c r="B109" s="149" t="str">
        <f t="shared" si="1"/>
        <v>Director of Studies__3</v>
      </c>
      <c r="C109" s="48"/>
      <c r="D109" s="48" t="s">
        <v>119</v>
      </c>
      <c r="E109" s="48"/>
      <c r="F109" s="156">
        <v>3</v>
      </c>
      <c r="G109" s="54">
        <v>101801</v>
      </c>
      <c r="H109" s="54">
        <v>103801</v>
      </c>
      <c r="I109" s="54">
        <v>105358</v>
      </c>
      <c r="J109" s="55">
        <v>107338</v>
      </c>
      <c r="K109" s="54">
        <v>108948</v>
      </c>
      <c r="L109" s="55">
        <v>111127</v>
      </c>
      <c r="M109" s="54">
        <v>115794</v>
      </c>
      <c r="N109" s="54"/>
      <c r="O109" s="54"/>
      <c r="P109" s="54"/>
      <c r="Q109" s="153"/>
    </row>
    <row r="110" spans="1:17">
      <c r="A110" s="43"/>
      <c r="B110" s="157" t="str">
        <f t="shared" si="1"/>
        <v>Director of Studies__4</v>
      </c>
      <c r="C110" s="158"/>
      <c r="D110" s="158" t="s">
        <v>119</v>
      </c>
      <c r="E110" s="158"/>
      <c r="F110" s="159">
        <v>4</v>
      </c>
      <c r="G110" s="160">
        <v>105179</v>
      </c>
      <c r="H110" s="160">
        <v>107179</v>
      </c>
      <c r="I110" s="160">
        <v>108787</v>
      </c>
      <c r="J110" s="161">
        <v>110819</v>
      </c>
      <c r="K110" s="160">
        <v>112481</v>
      </c>
      <c r="L110" s="161">
        <v>114731</v>
      </c>
      <c r="M110" s="160">
        <v>119550</v>
      </c>
      <c r="N110" s="160"/>
      <c r="O110" s="160"/>
      <c r="P110" s="160"/>
      <c r="Q110" s="162"/>
    </row>
    <row r="111" spans="1:17">
      <c r="A111" s="43"/>
      <c r="B111" s="149" t="str">
        <f t="shared" si="1"/>
        <v>__ELT Allowance 1</v>
      </c>
      <c r="C111" s="48"/>
      <c r="D111" s="48"/>
      <c r="E111" s="48"/>
      <c r="F111" s="156" t="s">
        <v>120</v>
      </c>
      <c r="G111" s="54">
        <v>2570</v>
      </c>
      <c r="H111" s="54">
        <v>2609</v>
      </c>
      <c r="I111" s="54">
        <v>2648</v>
      </c>
      <c r="J111" s="55">
        <v>2689</v>
      </c>
      <c r="K111" s="54">
        <v>2729</v>
      </c>
      <c r="L111" s="55">
        <v>2784</v>
      </c>
      <c r="M111" s="54">
        <v>2901</v>
      </c>
      <c r="N111" s="54"/>
      <c r="O111" s="54"/>
      <c r="P111" s="54"/>
      <c r="Q111" s="153"/>
    </row>
    <row r="112" spans="1:17">
      <c r="A112" s="43"/>
      <c r="B112" s="149" t="str">
        <f t="shared" si="1"/>
        <v>__ELT Allowance 2</v>
      </c>
      <c r="C112" s="48"/>
      <c r="D112" s="48"/>
      <c r="E112" s="48"/>
      <c r="F112" s="156" t="s">
        <v>121</v>
      </c>
      <c r="G112" s="54">
        <v>4313</v>
      </c>
      <c r="H112" s="54">
        <v>4378</v>
      </c>
      <c r="I112" s="54">
        <v>4444</v>
      </c>
      <c r="J112" s="55">
        <v>4512</v>
      </c>
      <c r="K112" s="54">
        <v>4580</v>
      </c>
      <c r="L112" s="55">
        <v>4672</v>
      </c>
      <c r="M112" s="54">
        <v>4868</v>
      </c>
      <c r="N112" s="54"/>
      <c r="O112" s="54"/>
      <c r="P112" s="54"/>
      <c r="Q112" s="153"/>
    </row>
    <row r="113" spans="1:17">
      <c r="A113" s="43"/>
      <c r="B113" s="157" t="str">
        <f t="shared" si="1"/>
        <v>__ELT Allowance 3</v>
      </c>
      <c r="C113" s="158"/>
      <c r="D113" s="158"/>
      <c r="E113" s="158"/>
      <c r="F113" s="159" t="s">
        <v>122</v>
      </c>
      <c r="G113" s="160">
        <v>5920</v>
      </c>
      <c r="H113" s="160">
        <v>6009</v>
      </c>
      <c r="I113" s="160">
        <v>6099</v>
      </c>
      <c r="J113" s="161">
        <v>6192</v>
      </c>
      <c r="K113" s="160">
        <v>6285</v>
      </c>
      <c r="L113" s="161">
        <v>6411</v>
      </c>
      <c r="M113" s="160">
        <v>6680</v>
      </c>
      <c r="N113" s="160"/>
      <c r="O113" s="160"/>
      <c r="P113" s="160"/>
      <c r="Q113" s="162"/>
    </row>
    <row r="114" spans="1:17">
      <c r="A114" s="43"/>
      <c r="B114" s="149" t="str">
        <f t="shared" si="1"/>
        <v>STF_Scholarly Teaching Fellow A_3</v>
      </c>
      <c r="C114" s="48"/>
      <c r="D114" s="48" t="s">
        <v>123</v>
      </c>
      <c r="E114" s="48" t="s">
        <v>124</v>
      </c>
      <c r="F114" s="156">
        <v>3</v>
      </c>
      <c r="G114" s="54">
        <v>73423</v>
      </c>
      <c r="H114" s="54">
        <v>75423</v>
      </c>
      <c r="I114" s="54">
        <v>76554</v>
      </c>
      <c r="J114" s="55">
        <v>78102</v>
      </c>
      <c r="K114" s="54">
        <v>79274</v>
      </c>
      <c r="L114" s="55">
        <v>80859</v>
      </c>
      <c r="M114" s="54">
        <v>82603.508000000002</v>
      </c>
      <c r="N114" s="54"/>
      <c r="O114" s="54"/>
      <c r="P114" s="54"/>
      <c r="Q114" s="153"/>
    </row>
    <row r="115" spans="1:17">
      <c r="A115" s="43"/>
      <c r="B115" s="149" t="str">
        <f t="shared" si="1"/>
        <v>STF_Scholarly Teaching Fellow A_4</v>
      </c>
      <c r="C115" s="48"/>
      <c r="D115" s="48" t="s">
        <v>123</v>
      </c>
      <c r="E115" s="48" t="s">
        <v>124</v>
      </c>
      <c r="F115" s="156">
        <v>4</v>
      </c>
      <c r="G115" s="54">
        <v>77187</v>
      </c>
      <c r="H115" s="54">
        <v>79187</v>
      </c>
      <c r="I115" s="54">
        <v>80375</v>
      </c>
      <c r="J115" s="55">
        <v>81981</v>
      </c>
      <c r="K115" s="54">
        <v>83211</v>
      </c>
      <c r="L115" s="55">
        <v>84875</v>
      </c>
      <c r="M115" s="54">
        <v>86705.862000000008</v>
      </c>
      <c r="N115" s="54"/>
      <c r="O115" s="54"/>
      <c r="P115" s="54"/>
      <c r="Q115" s="153"/>
    </row>
    <row r="116" spans="1:17">
      <c r="A116" s="43"/>
      <c r="B116" s="149" t="str">
        <f t="shared" si="1"/>
        <v>STF_Scholarly Teaching Fellow A_5</v>
      </c>
      <c r="C116" s="48"/>
      <c r="D116" s="48" t="s">
        <v>123</v>
      </c>
      <c r="E116" s="48" t="s">
        <v>124</v>
      </c>
      <c r="F116" s="156">
        <v>5</v>
      </c>
      <c r="G116" s="54">
        <v>80246</v>
      </c>
      <c r="H116" s="54">
        <v>82246</v>
      </c>
      <c r="I116" s="54">
        <v>83480</v>
      </c>
      <c r="J116" s="55">
        <v>85132</v>
      </c>
      <c r="K116" s="54">
        <v>86409</v>
      </c>
      <c r="L116" s="55">
        <v>88137</v>
      </c>
      <c r="M116" s="54">
        <v>90038.178</v>
      </c>
      <c r="N116" s="54"/>
      <c r="O116" s="54"/>
      <c r="P116" s="54"/>
      <c r="Q116" s="153"/>
    </row>
    <row r="117" spans="1:17">
      <c r="A117" s="43"/>
      <c r="B117" s="149" t="str">
        <f t="shared" si="1"/>
        <v>STF_Scholarly Teaching Fellow A_6</v>
      </c>
      <c r="C117" s="48"/>
      <c r="D117" s="48" t="s">
        <v>123</v>
      </c>
      <c r="E117" s="48" t="s">
        <v>124</v>
      </c>
      <c r="F117" s="156">
        <v>6</v>
      </c>
      <c r="G117" s="54">
        <v>83307</v>
      </c>
      <c r="H117" s="54">
        <v>85307</v>
      </c>
      <c r="I117" s="54">
        <v>86587</v>
      </c>
      <c r="J117" s="55">
        <v>88286</v>
      </c>
      <c r="K117" s="54">
        <v>89610</v>
      </c>
      <c r="L117" s="55">
        <v>91402</v>
      </c>
      <c r="M117" s="54">
        <v>93373.62000000001</v>
      </c>
      <c r="N117" s="54"/>
      <c r="O117" s="54"/>
      <c r="P117" s="54"/>
      <c r="Q117" s="153"/>
    </row>
    <row r="118" spans="1:17">
      <c r="A118" s="43"/>
      <c r="B118" s="149" t="str">
        <f t="shared" si="1"/>
        <v>STF_Scholarly Teaching Fellow A_7</v>
      </c>
      <c r="C118" s="48"/>
      <c r="D118" s="48" t="s">
        <v>123</v>
      </c>
      <c r="E118" s="48" t="s">
        <v>124</v>
      </c>
      <c r="F118" s="156">
        <v>7</v>
      </c>
      <c r="G118" s="54">
        <v>86368</v>
      </c>
      <c r="H118" s="54">
        <v>88368</v>
      </c>
      <c r="I118" s="54">
        <v>89694</v>
      </c>
      <c r="J118" s="55">
        <v>91439</v>
      </c>
      <c r="K118" s="54">
        <v>92811</v>
      </c>
      <c r="L118" s="55">
        <v>94667</v>
      </c>
      <c r="M118" s="54">
        <v>96709.062000000005</v>
      </c>
      <c r="N118" s="54"/>
      <c r="O118" s="54"/>
      <c r="P118" s="54"/>
      <c r="Q118" s="153"/>
    </row>
    <row r="119" spans="1:17">
      <c r="A119" s="43"/>
      <c r="B119" s="149" t="str">
        <f t="shared" si="1"/>
        <v>STF_Scholarly Teaching Fellow A_8</v>
      </c>
      <c r="C119" s="48"/>
      <c r="D119" s="48" t="s">
        <v>123</v>
      </c>
      <c r="E119" s="48" t="s">
        <v>124</v>
      </c>
      <c r="F119" s="156">
        <v>8</v>
      </c>
      <c r="G119" s="54">
        <v>89425</v>
      </c>
      <c r="H119" s="54">
        <v>91425</v>
      </c>
      <c r="I119" s="54">
        <v>92796</v>
      </c>
      <c r="J119" s="55">
        <v>94588</v>
      </c>
      <c r="K119" s="54">
        <v>96007</v>
      </c>
      <c r="L119" s="55">
        <v>97927</v>
      </c>
      <c r="M119" s="54">
        <v>100039.29400000001</v>
      </c>
      <c r="N119" s="54"/>
      <c r="O119" s="54"/>
      <c r="P119" s="54"/>
      <c r="Q119" s="153"/>
    </row>
    <row r="120" spans="1:17">
      <c r="A120" s="43"/>
      <c r="B120" s="149" t="str">
        <f t="shared" si="1"/>
        <v>STF_Scholarly Teaching Fellow B_1</v>
      </c>
      <c r="C120" s="48"/>
      <c r="D120" s="48" t="s">
        <v>123</v>
      </c>
      <c r="E120" s="48" t="s">
        <v>125</v>
      </c>
      <c r="F120" s="156">
        <v>1</v>
      </c>
      <c r="G120" s="54">
        <v>94135</v>
      </c>
      <c r="H120" s="54">
        <v>96135</v>
      </c>
      <c r="I120" s="54">
        <v>97577</v>
      </c>
      <c r="J120" s="55">
        <v>99441</v>
      </c>
      <c r="K120" s="54">
        <v>100933</v>
      </c>
      <c r="L120" s="55">
        <v>102952</v>
      </c>
      <c r="M120" s="54">
        <v>105172.186</v>
      </c>
      <c r="N120" s="54"/>
      <c r="O120" s="54"/>
      <c r="P120" s="54"/>
      <c r="Q120" s="153"/>
    </row>
    <row r="121" spans="1:17">
      <c r="A121" s="43"/>
      <c r="B121" s="149" t="str">
        <f t="shared" si="1"/>
        <v>STF_Scholarly Teaching Fellow B_2</v>
      </c>
      <c r="C121" s="48"/>
      <c r="D121" s="48" t="s">
        <v>123</v>
      </c>
      <c r="E121" s="48" t="s">
        <v>125</v>
      </c>
      <c r="F121" s="156">
        <v>2</v>
      </c>
      <c r="G121" s="54">
        <v>97666</v>
      </c>
      <c r="H121" s="54">
        <v>99666</v>
      </c>
      <c r="I121" s="54">
        <v>101161</v>
      </c>
      <c r="J121" s="55">
        <v>103078</v>
      </c>
      <c r="K121" s="54">
        <v>104624</v>
      </c>
      <c r="L121" s="55">
        <v>106716</v>
      </c>
      <c r="M121" s="54">
        <v>109018.208</v>
      </c>
      <c r="N121" s="54"/>
      <c r="O121" s="54"/>
      <c r="P121" s="54"/>
      <c r="Q121" s="153"/>
    </row>
    <row r="122" spans="1:17">
      <c r="A122" s="43"/>
      <c r="B122" s="149" t="str">
        <f t="shared" si="1"/>
        <v>STF_Scholarly Teaching Fellow B_3</v>
      </c>
      <c r="C122" s="48"/>
      <c r="D122" s="48" t="s">
        <v>123</v>
      </c>
      <c r="E122" s="48" t="s">
        <v>125</v>
      </c>
      <c r="F122" s="156">
        <v>3</v>
      </c>
      <c r="G122" s="54">
        <v>101190</v>
      </c>
      <c r="H122" s="54">
        <v>103190</v>
      </c>
      <c r="I122" s="54">
        <v>104738</v>
      </c>
      <c r="J122" s="55">
        <v>106709</v>
      </c>
      <c r="K122" s="54">
        <v>108310</v>
      </c>
      <c r="L122" s="55">
        <v>110476</v>
      </c>
      <c r="M122" s="54">
        <v>112859.02</v>
      </c>
      <c r="N122" s="54"/>
      <c r="O122" s="54"/>
      <c r="P122" s="54"/>
      <c r="Q122" s="153"/>
    </row>
    <row r="123" spans="1:17">
      <c r="A123" s="43"/>
      <c r="B123" s="149" t="str">
        <f t="shared" si="1"/>
        <v>STF_Scholarly Teaching Fellow B_4</v>
      </c>
      <c r="C123" s="48"/>
      <c r="D123" s="48" t="s">
        <v>123</v>
      </c>
      <c r="E123" s="48" t="s">
        <v>125</v>
      </c>
      <c r="F123" s="156">
        <v>4</v>
      </c>
      <c r="G123" s="54">
        <v>104724</v>
      </c>
      <c r="H123" s="54">
        <v>106724</v>
      </c>
      <c r="I123" s="54">
        <v>108325</v>
      </c>
      <c r="J123" s="55">
        <v>110350</v>
      </c>
      <c r="K123" s="54">
        <v>112005</v>
      </c>
      <c r="L123" s="55">
        <v>114245</v>
      </c>
      <c r="M123" s="54">
        <v>116709.21</v>
      </c>
      <c r="N123" s="54"/>
      <c r="O123" s="54"/>
      <c r="P123" s="54"/>
      <c r="Q123" s="153"/>
    </row>
    <row r="124" spans="1:17">
      <c r="A124" s="43"/>
      <c r="B124" s="149" t="str">
        <f t="shared" si="1"/>
        <v>STF_Scholarly Teaching Fellow B_5</v>
      </c>
      <c r="C124" s="48"/>
      <c r="D124" s="48" t="s">
        <v>123</v>
      </c>
      <c r="E124" s="48" t="s">
        <v>125</v>
      </c>
      <c r="F124" s="156">
        <v>5</v>
      </c>
      <c r="G124" s="54">
        <v>108251</v>
      </c>
      <c r="H124" s="54">
        <v>110251</v>
      </c>
      <c r="I124" s="54">
        <v>111905</v>
      </c>
      <c r="J124" s="55">
        <v>113984</v>
      </c>
      <c r="K124" s="54">
        <v>115694</v>
      </c>
      <c r="L124" s="55">
        <v>118008</v>
      </c>
      <c r="M124" s="54">
        <v>120553.148</v>
      </c>
      <c r="N124" s="54"/>
      <c r="O124" s="54"/>
      <c r="P124" s="54"/>
      <c r="Q124" s="153"/>
    </row>
    <row r="125" spans="1:17">
      <c r="A125" s="43"/>
      <c r="B125" s="157" t="str">
        <f t="shared" si="1"/>
        <v>STF_Scholarly Teaching Fellow B_6</v>
      </c>
      <c r="C125" s="158"/>
      <c r="D125" s="158" t="s">
        <v>123</v>
      </c>
      <c r="E125" s="158" t="s">
        <v>125</v>
      </c>
      <c r="F125" s="159">
        <v>6</v>
      </c>
      <c r="G125" s="160">
        <v>111788</v>
      </c>
      <c r="H125" s="160">
        <v>113788</v>
      </c>
      <c r="I125" s="160">
        <v>115495</v>
      </c>
      <c r="J125" s="161">
        <v>117627</v>
      </c>
      <c r="K125" s="160">
        <v>119391</v>
      </c>
      <c r="L125" s="161">
        <v>121779</v>
      </c>
      <c r="M125" s="54">
        <v>124405.42200000001</v>
      </c>
      <c r="N125" s="160"/>
      <c r="O125" s="160"/>
      <c r="P125" s="160"/>
      <c r="Q125" s="162"/>
    </row>
    <row r="126" spans="1:17">
      <c r="A126" s="43"/>
      <c r="B126" s="163" t="str">
        <f t="shared" si="1"/>
        <v>Agreed Salary__</v>
      </c>
      <c r="C126" s="164"/>
      <c r="D126" s="164" t="s">
        <v>126</v>
      </c>
      <c r="E126" s="164"/>
      <c r="F126" s="165"/>
      <c r="G126" s="166">
        <f>'Eff Jul 23 - Continuing FT'!$E$28</f>
        <v>0</v>
      </c>
      <c r="H126" s="166">
        <f>'Eff Jul 23 - Continuing FT'!$E$28</f>
        <v>0</v>
      </c>
      <c r="I126" s="166">
        <f>'Eff Jul 23 - Continuing FT'!$E$28</f>
        <v>0</v>
      </c>
      <c r="J126" s="167">
        <f>'Eff Jul 23 - Continuing FT'!$E$28</f>
        <v>0</v>
      </c>
      <c r="K126" s="166">
        <f>'Eff Jul 23 - Continuing FT'!$E$28</f>
        <v>0</v>
      </c>
      <c r="L126" s="166">
        <f>'Eff Jul 23 - Continuing FT'!$E$28</f>
        <v>0</v>
      </c>
      <c r="M126" s="166"/>
      <c r="N126" s="166"/>
      <c r="O126" s="166"/>
      <c r="P126" s="166"/>
      <c r="Q126" s="16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E1:R81"/>
  <sheetViews>
    <sheetView showGridLines="0" topLeftCell="A19" zoomScale="85" zoomScaleNormal="85" workbookViewId="0">
      <selection activeCell="I65" sqref="I65"/>
    </sheetView>
  </sheetViews>
  <sheetFormatPr defaultColWidth="9.140625" defaultRowHeight="12.75"/>
  <cols>
    <col min="1" max="4" width="4.140625" customWidth="1"/>
    <col min="5" max="5" width="23.28515625" bestFit="1" customWidth="1"/>
    <col min="7" max="7" width="15.28515625" bestFit="1" customWidth="1"/>
    <col min="8" max="18" width="20.5703125" customWidth="1"/>
  </cols>
  <sheetData>
    <row r="1" spans="5:16" ht="15.75">
      <c r="E1" s="101" t="s">
        <v>186</v>
      </c>
    </row>
    <row r="2" spans="5:16">
      <c r="H2" s="72" t="s">
        <v>153</v>
      </c>
      <c r="I2" s="71" t="s">
        <v>152</v>
      </c>
      <c r="J2" s="71"/>
      <c r="K2" s="77" t="s">
        <v>151</v>
      </c>
      <c r="L2" s="75"/>
      <c r="M2" s="75"/>
      <c r="N2" s="75"/>
      <c r="O2" s="75"/>
      <c r="P2" s="76"/>
    </row>
    <row r="3" spans="5:16" ht="13.5" thickBot="1">
      <c r="E3" s="59" t="s">
        <v>131</v>
      </c>
      <c r="F3" s="60"/>
      <c r="H3" s="73" t="s">
        <v>144</v>
      </c>
      <c r="I3" s="58" t="s">
        <v>127</v>
      </c>
      <c r="J3" s="58" t="s">
        <v>132</v>
      </c>
      <c r="K3" s="59" t="s">
        <v>145</v>
      </c>
      <c r="L3" s="58" t="s">
        <v>146</v>
      </c>
      <c r="M3" s="58" t="s">
        <v>147</v>
      </c>
      <c r="N3" s="58" t="s">
        <v>148</v>
      </c>
      <c r="O3" s="58" t="s">
        <v>149</v>
      </c>
      <c r="P3" s="60" t="s">
        <v>150</v>
      </c>
    </row>
    <row r="4" spans="5:16">
      <c r="E4" s="61" t="s">
        <v>127</v>
      </c>
      <c r="F4" s="62" t="s">
        <v>72</v>
      </c>
      <c r="H4" s="74" t="s">
        <v>127</v>
      </c>
      <c r="I4" t="s">
        <v>127</v>
      </c>
      <c r="J4" t="s">
        <v>87</v>
      </c>
      <c r="K4" s="63" t="s">
        <v>73</v>
      </c>
      <c r="L4" t="s">
        <v>88</v>
      </c>
      <c r="M4" t="s">
        <v>111</v>
      </c>
      <c r="N4" t="s">
        <v>118</v>
      </c>
      <c r="O4" t="s">
        <v>124</v>
      </c>
      <c r="P4" s="64" t="s">
        <v>126</v>
      </c>
    </row>
    <row r="5" spans="5:16">
      <c r="E5" s="61" t="s">
        <v>128</v>
      </c>
      <c r="F5" s="62" t="s">
        <v>123</v>
      </c>
      <c r="H5" s="74" t="s">
        <v>132</v>
      </c>
      <c r="I5" t="s">
        <v>128</v>
      </c>
      <c r="J5" t="s">
        <v>129</v>
      </c>
      <c r="K5" s="63" t="s">
        <v>75</v>
      </c>
      <c r="L5" t="s">
        <v>90</v>
      </c>
      <c r="M5" t="s">
        <v>113</v>
      </c>
      <c r="O5" t="s">
        <v>125</v>
      </c>
      <c r="P5" s="64"/>
    </row>
    <row r="6" spans="5:16">
      <c r="E6" s="61" t="s">
        <v>87</v>
      </c>
      <c r="F6" s="62" t="s">
        <v>87</v>
      </c>
      <c r="H6" s="74" t="s">
        <v>126</v>
      </c>
      <c r="J6" t="s">
        <v>130</v>
      </c>
      <c r="K6" s="63" t="s">
        <v>77</v>
      </c>
      <c r="L6" t="s">
        <v>92</v>
      </c>
      <c r="M6" t="s">
        <v>115</v>
      </c>
      <c r="P6" s="64"/>
    </row>
    <row r="7" spans="5:16">
      <c r="E7" s="61" t="s">
        <v>129</v>
      </c>
      <c r="F7" s="62" t="s">
        <v>110</v>
      </c>
      <c r="H7" s="74"/>
      <c r="K7" s="63" t="s">
        <v>79</v>
      </c>
      <c r="L7" t="s">
        <v>94</v>
      </c>
      <c r="P7" s="64"/>
    </row>
    <row r="8" spans="5:16">
      <c r="E8" s="61" t="s">
        <v>130</v>
      </c>
      <c r="F8" s="62" t="s">
        <v>117</v>
      </c>
      <c r="H8" s="74"/>
      <c r="K8" s="63" t="s">
        <v>81</v>
      </c>
      <c r="L8" t="s">
        <v>96</v>
      </c>
      <c r="P8" s="64"/>
    </row>
    <row r="9" spans="5:16">
      <c r="E9" s="63"/>
      <c r="F9" s="64"/>
      <c r="H9" s="74"/>
      <c r="K9" s="63"/>
      <c r="L9" t="s">
        <v>98</v>
      </c>
      <c r="P9" s="64"/>
    </row>
    <row r="10" spans="5:16">
      <c r="E10" s="63"/>
      <c r="F10" s="64"/>
      <c r="H10" s="74"/>
      <c r="K10" s="63"/>
      <c r="L10" t="s">
        <v>100</v>
      </c>
      <c r="P10" s="64"/>
    </row>
    <row r="11" spans="5:16">
      <c r="E11" s="65"/>
      <c r="F11" s="66"/>
      <c r="H11" s="74"/>
      <c r="K11" s="63"/>
      <c r="L11" t="s">
        <v>102</v>
      </c>
      <c r="P11" s="64"/>
    </row>
    <row r="12" spans="5:16">
      <c r="H12" s="74"/>
      <c r="K12" s="63"/>
      <c r="L12" t="s">
        <v>104</v>
      </c>
      <c r="P12" s="64"/>
    </row>
    <row r="13" spans="5:16">
      <c r="H13" s="74"/>
      <c r="K13" s="63"/>
      <c r="L13" t="s">
        <v>107</v>
      </c>
      <c r="P13" s="64"/>
    </row>
    <row r="14" spans="5:16">
      <c r="H14" s="78"/>
      <c r="I14" s="79"/>
      <c r="J14" s="79"/>
      <c r="K14" s="65"/>
      <c r="L14" s="79" t="s">
        <v>109</v>
      </c>
      <c r="M14" s="79"/>
      <c r="N14" s="79"/>
      <c r="O14" s="79"/>
      <c r="P14" s="66"/>
    </row>
    <row r="16" spans="5:16">
      <c r="G16" s="56"/>
      <c r="H16" s="56"/>
      <c r="I16" s="56"/>
      <c r="J16" s="56"/>
      <c r="K16" s="56"/>
      <c r="L16" s="56"/>
      <c r="M16" s="56"/>
      <c r="N16" s="56"/>
    </row>
    <row r="17" spans="5:18">
      <c r="E17" s="100" t="s">
        <v>154</v>
      </c>
      <c r="F17" s="82"/>
      <c r="G17" s="82"/>
      <c r="H17" s="82"/>
      <c r="I17" s="82"/>
      <c r="J17" s="82" t="str">
        <f>IF($G$15=BE_Lookup!$H$18, LU_LvlA, IF($G$15=BE_Lookup!$I$18, LU_LvlB, IF($G$15=BE_Lookup!$J$18, LU_LvlC, IF($G$15=BE_Lookup!$K$18, LU_LvlD, IF($G$15=BE_Lookup!$L$18, LU_LvlE, IF($G$15=BE_Lookup!$H$28, LU_Lvl1, IF($G$15=BE_Lookup!$I$28, LU_lvl2, IF($G$15=BE_Lookup!$J$28, LU_lvl3, IF($G$15=BE_Lookup!$K$28, LU_LVL4, IF($G$15=BE_Lookup!$L$28, LU_LVL5, IF($G$15=BE_Lookup!$M$28, LU_LVL56, IF($G$15=BE_Lookup!$N$28, LU_LVL6, IF($G$15=BE_Lookup!$O$28, LU_LVL7, IF($G$15=BE_Lookup!$P$28, LU_LVL8, IF($G$15=BE_Lookup!$Q$28, LU_LVL9, IF($G$15=BE_Lookup!$R$28, LU_LVL10, IF($G$15=BE_Lookup!$H$37, LU_ELT, IF($G$15=BE_Lookup!$I$37, LU_STF, IF($G$15=BE_Lookup!$K$37, LU_DS, "")))))))))))))))))))</f>
        <v/>
      </c>
      <c r="K17" s="82"/>
      <c r="L17" s="82"/>
      <c r="M17" s="82"/>
      <c r="N17" s="82"/>
      <c r="O17" s="71"/>
      <c r="P17" s="71"/>
      <c r="Q17" s="71"/>
      <c r="R17" s="71"/>
    </row>
    <row r="18" spans="5:18" ht="13.5" thickBot="1">
      <c r="E18" s="86"/>
      <c r="F18" s="87"/>
      <c r="G18" s="87"/>
      <c r="H18" s="88" t="s">
        <v>73</v>
      </c>
      <c r="I18" s="88" t="s">
        <v>75</v>
      </c>
      <c r="J18" s="89" t="s">
        <v>77</v>
      </c>
      <c r="K18" s="89" t="s">
        <v>79</v>
      </c>
      <c r="L18" s="89" t="s">
        <v>81</v>
      </c>
      <c r="M18" s="90"/>
      <c r="N18" s="90"/>
      <c r="O18" s="90"/>
      <c r="P18" s="90"/>
      <c r="Q18" s="87"/>
      <c r="R18" s="91"/>
    </row>
    <row r="19" spans="5:18">
      <c r="E19" s="92" t="s">
        <v>155</v>
      </c>
      <c r="F19" s="56" t="s">
        <v>178</v>
      </c>
      <c r="H19" s="49">
        <v>1</v>
      </c>
      <c r="I19" s="49">
        <v>1</v>
      </c>
      <c r="J19" s="56">
        <v>1</v>
      </c>
      <c r="K19" s="56">
        <v>1</v>
      </c>
      <c r="L19" s="56">
        <v>1</v>
      </c>
      <c r="M19" s="56"/>
      <c r="N19" s="56"/>
      <c r="O19" s="56"/>
      <c r="P19" s="56"/>
      <c r="R19" s="93"/>
    </row>
    <row r="20" spans="5:18">
      <c r="E20" s="92" t="s">
        <v>156</v>
      </c>
      <c r="F20" s="56" t="s">
        <v>179</v>
      </c>
      <c r="H20" s="49">
        <v>2</v>
      </c>
      <c r="I20" s="49">
        <v>2</v>
      </c>
      <c r="J20" s="56">
        <v>2</v>
      </c>
      <c r="K20" s="56">
        <v>2</v>
      </c>
      <c r="L20" s="56"/>
      <c r="M20" s="56"/>
      <c r="N20" s="56"/>
      <c r="O20" s="56"/>
      <c r="P20" s="56"/>
      <c r="R20" s="93"/>
    </row>
    <row r="21" spans="5:18">
      <c r="E21" s="92" t="s">
        <v>157</v>
      </c>
      <c r="F21" s="56" t="s">
        <v>180</v>
      </c>
      <c r="H21" s="49">
        <v>3</v>
      </c>
      <c r="I21" s="49">
        <v>3</v>
      </c>
      <c r="J21" s="56">
        <v>3</v>
      </c>
      <c r="K21" s="56">
        <v>3</v>
      </c>
      <c r="L21" s="56"/>
      <c r="M21" s="56"/>
      <c r="N21" s="56"/>
      <c r="O21" s="56"/>
      <c r="P21" s="56"/>
      <c r="R21" s="93"/>
    </row>
    <row r="22" spans="5:18">
      <c r="E22" s="92" t="s">
        <v>158</v>
      </c>
      <c r="F22" s="56" t="s">
        <v>181</v>
      </c>
      <c r="H22" s="49">
        <v>4</v>
      </c>
      <c r="I22" s="49">
        <v>4</v>
      </c>
      <c r="J22" s="56">
        <v>4</v>
      </c>
      <c r="K22" s="56">
        <v>4</v>
      </c>
      <c r="L22" s="56"/>
      <c r="M22" s="56"/>
      <c r="N22" s="56"/>
      <c r="O22" s="56"/>
      <c r="P22" s="56"/>
      <c r="R22" s="93"/>
    </row>
    <row r="23" spans="5:18">
      <c r="E23" s="92" t="s">
        <v>159</v>
      </c>
      <c r="F23" s="56" t="s">
        <v>182</v>
      </c>
      <c r="H23" s="49">
        <v>5</v>
      </c>
      <c r="I23" s="49">
        <v>5</v>
      </c>
      <c r="J23" s="56">
        <v>5</v>
      </c>
      <c r="K23" s="56"/>
      <c r="L23" s="56"/>
      <c r="M23" s="56"/>
      <c r="N23" s="56"/>
      <c r="O23" s="56"/>
      <c r="P23" s="56"/>
      <c r="R23" s="93"/>
    </row>
    <row r="24" spans="5:18">
      <c r="E24" s="92" t="s">
        <v>160</v>
      </c>
      <c r="F24" s="56" t="s">
        <v>187</v>
      </c>
      <c r="H24" s="49">
        <v>6</v>
      </c>
      <c r="I24" s="49">
        <v>6</v>
      </c>
      <c r="J24" s="56">
        <v>6</v>
      </c>
      <c r="K24" s="56"/>
      <c r="L24" s="56"/>
      <c r="M24" s="56"/>
      <c r="N24" s="56"/>
      <c r="O24" s="56"/>
      <c r="P24" s="56"/>
      <c r="R24" s="93"/>
    </row>
    <row r="25" spans="5:18">
      <c r="E25" s="92" t="s">
        <v>161</v>
      </c>
      <c r="F25" s="56" t="s">
        <v>188</v>
      </c>
      <c r="H25" s="49">
        <v>7</v>
      </c>
      <c r="I25" s="56"/>
      <c r="J25" s="56"/>
      <c r="K25" s="56"/>
      <c r="L25" s="56"/>
      <c r="M25" s="56"/>
      <c r="N25" s="56"/>
      <c r="O25" s="56"/>
      <c r="P25" s="56"/>
      <c r="R25" s="93"/>
    </row>
    <row r="26" spans="5:18">
      <c r="E26" s="92" t="s">
        <v>162</v>
      </c>
      <c r="F26" s="56" t="s">
        <v>189</v>
      </c>
      <c r="H26" s="49">
        <v>8</v>
      </c>
      <c r="I26" s="56"/>
      <c r="J26" s="56"/>
      <c r="K26" s="56"/>
      <c r="L26" s="56"/>
      <c r="M26" s="56"/>
      <c r="N26" s="56"/>
      <c r="O26" s="56"/>
      <c r="P26" s="56"/>
      <c r="R26" s="93"/>
    </row>
    <row r="27" spans="5:18">
      <c r="E27" s="92" t="s">
        <v>163</v>
      </c>
      <c r="F27" s="56" t="s">
        <v>190</v>
      </c>
      <c r="H27" s="56"/>
      <c r="I27" s="56"/>
      <c r="J27" s="56"/>
      <c r="K27" s="56"/>
      <c r="L27" s="56"/>
      <c r="M27" s="56"/>
      <c r="N27" s="56"/>
      <c r="O27" s="56"/>
      <c r="P27" s="56"/>
      <c r="R27" s="93"/>
    </row>
    <row r="28" spans="5:18" ht="13.5" thickBot="1">
      <c r="E28" s="92" t="s">
        <v>164</v>
      </c>
      <c r="F28" s="56" t="s">
        <v>191</v>
      </c>
      <c r="H28" s="80" t="s">
        <v>88</v>
      </c>
      <c r="I28" s="80" t="s">
        <v>90</v>
      </c>
      <c r="J28" s="81" t="s">
        <v>92</v>
      </c>
      <c r="K28" s="81" t="s">
        <v>94</v>
      </c>
      <c r="L28" s="81" t="s">
        <v>96</v>
      </c>
      <c r="M28" s="81" t="s">
        <v>98</v>
      </c>
      <c r="N28" s="81" t="s">
        <v>100</v>
      </c>
      <c r="O28" s="81" t="s">
        <v>102</v>
      </c>
      <c r="P28" s="81" t="s">
        <v>104</v>
      </c>
      <c r="Q28" s="81" t="s">
        <v>107</v>
      </c>
      <c r="R28" s="94" t="s">
        <v>109</v>
      </c>
    </row>
    <row r="29" spans="5:18">
      <c r="E29" s="92" t="s">
        <v>165</v>
      </c>
      <c r="F29" s="56" t="s">
        <v>192</v>
      </c>
      <c r="H29" s="56">
        <v>1</v>
      </c>
      <c r="I29" s="56">
        <v>1</v>
      </c>
      <c r="J29" s="56">
        <v>1</v>
      </c>
      <c r="K29" s="56">
        <v>1</v>
      </c>
      <c r="L29" s="56">
        <v>1</v>
      </c>
      <c r="M29" s="56">
        <v>1</v>
      </c>
      <c r="N29" s="56">
        <v>1</v>
      </c>
      <c r="O29" s="56">
        <v>1</v>
      </c>
      <c r="P29" s="56">
        <v>1</v>
      </c>
      <c r="Q29" s="56">
        <v>1</v>
      </c>
      <c r="R29" s="95">
        <v>1</v>
      </c>
    </row>
    <row r="30" spans="5:18">
      <c r="E30" s="92" t="s">
        <v>166</v>
      </c>
      <c r="F30" s="56" t="s">
        <v>193</v>
      </c>
      <c r="H30" s="56">
        <v>2</v>
      </c>
      <c r="I30" s="56">
        <v>2</v>
      </c>
      <c r="J30" s="56">
        <v>2</v>
      </c>
      <c r="K30" s="56">
        <v>2</v>
      </c>
      <c r="L30" s="56">
        <v>2</v>
      </c>
      <c r="M30" s="56">
        <v>2</v>
      </c>
      <c r="N30" s="56">
        <v>2</v>
      </c>
      <c r="O30" s="56">
        <v>2</v>
      </c>
      <c r="P30" s="56">
        <v>2</v>
      </c>
      <c r="Q30" s="56">
        <v>2</v>
      </c>
      <c r="R30" s="95">
        <v>2</v>
      </c>
    </row>
    <row r="31" spans="5:18">
      <c r="E31" s="92" t="s">
        <v>167</v>
      </c>
      <c r="F31" s="56" t="s">
        <v>194</v>
      </c>
      <c r="H31" s="56">
        <v>3</v>
      </c>
      <c r="I31" s="56">
        <v>3</v>
      </c>
      <c r="J31" s="56">
        <v>3</v>
      </c>
      <c r="K31" s="56">
        <v>3</v>
      </c>
      <c r="L31" s="56">
        <v>3</v>
      </c>
      <c r="M31" s="56">
        <v>3</v>
      </c>
      <c r="N31" s="56">
        <v>3</v>
      </c>
      <c r="O31" s="56">
        <v>3</v>
      </c>
      <c r="P31" s="56">
        <v>3</v>
      </c>
      <c r="Q31" s="56">
        <v>3</v>
      </c>
      <c r="R31" s="95">
        <v>3</v>
      </c>
    </row>
    <row r="32" spans="5:18">
      <c r="E32" s="92" t="s">
        <v>168</v>
      </c>
      <c r="F32" s="56" t="s">
        <v>195</v>
      </c>
      <c r="H32" s="56">
        <v>4</v>
      </c>
      <c r="I32" s="56">
        <v>4</v>
      </c>
      <c r="J32" s="56">
        <v>4</v>
      </c>
      <c r="K32" s="56">
        <v>4</v>
      </c>
      <c r="L32" s="56">
        <v>4</v>
      </c>
      <c r="M32" s="56">
        <v>4</v>
      </c>
      <c r="N32" s="56">
        <v>4</v>
      </c>
      <c r="O32" s="56">
        <v>4</v>
      </c>
      <c r="P32" s="56">
        <v>4</v>
      </c>
      <c r="Q32" s="56"/>
      <c r="R32" s="95"/>
    </row>
    <row r="33" spans="5:18">
      <c r="E33" s="92" t="s">
        <v>169</v>
      </c>
      <c r="F33" s="56" t="s">
        <v>196</v>
      </c>
      <c r="H33" s="56">
        <v>5</v>
      </c>
      <c r="I33" s="56">
        <v>5</v>
      </c>
      <c r="J33" s="56">
        <v>5</v>
      </c>
      <c r="K33" s="56"/>
      <c r="L33" s="56"/>
      <c r="M33" s="56">
        <v>5</v>
      </c>
      <c r="N33" s="56"/>
      <c r="O33" s="56">
        <v>5</v>
      </c>
      <c r="P33" s="56">
        <v>5</v>
      </c>
      <c r="Q33" s="56"/>
      <c r="R33" s="95"/>
    </row>
    <row r="34" spans="5:18">
      <c r="E34" s="92" t="s">
        <v>170</v>
      </c>
      <c r="F34" s="56" t="s">
        <v>197</v>
      </c>
      <c r="H34" s="56">
        <v>6</v>
      </c>
      <c r="I34" s="56">
        <v>6</v>
      </c>
      <c r="J34" s="56">
        <v>6</v>
      </c>
      <c r="K34" s="56"/>
      <c r="L34" s="56"/>
      <c r="M34" s="56">
        <v>6</v>
      </c>
      <c r="N34" s="56"/>
      <c r="O34" s="56"/>
      <c r="P34" s="56"/>
      <c r="R34" s="93"/>
    </row>
    <row r="35" spans="5:18">
      <c r="E35" s="92" t="s">
        <v>171</v>
      </c>
      <c r="F35" s="56" t="s">
        <v>183</v>
      </c>
      <c r="H35" s="56">
        <v>7</v>
      </c>
      <c r="I35" s="56">
        <v>7</v>
      </c>
      <c r="J35" s="56">
        <v>7</v>
      </c>
      <c r="K35" s="56"/>
      <c r="L35" s="56"/>
      <c r="M35" s="56">
        <v>7</v>
      </c>
      <c r="N35" s="56"/>
      <c r="O35" s="56"/>
      <c r="P35" s="56"/>
      <c r="R35" s="93"/>
    </row>
    <row r="36" spans="5:18">
      <c r="E36" s="92" t="s">
        <v>172</v>
      </c>
      <c r="F36" s="56" t="s">
        <v>183</v>
      </c>
      <c r="H36" s="56"/>
      <c r="I36" s="56"/>
      <c r="J36" s="56">
        <v>8</v>
      </c>
      <c r="K36" s="56"/>
      <c r="L36" s="56"/>
      <c r="M36" s="56"/>
      <c r="N36" s="56"/>
      <c r="O36" s="56"/>
      <c r="P36" s="56"/>
      <c r="R36" s="93"/>
    </row>
    <row r="37" spans="5:18" ht="13.5" thickBot="1">
      <c r="E37" s="92" t="s">
        <v>173</v>
      </c>
      <c r="F37" s="56" t="s">
        <v>183</v>
      </c>
      <c r="H37" s="83" t="s">
        <v>118</v>
      </c>
      <c r="I37" s="83" t="s">
        <v>124</v>
      </c>
      <c r="J37" s="83" t="s">
        <v>125</v>
      </c>
      <c r="K37" s="83" t="s">
        <v>119</v>
      </c>
      <c r="L37" s="56"/>
      <c r="M37" s="56"/>
      <c r="N37" s="56"/>
      <c r="R37" s="93"/>
    </row>
    <row r="38" spans="5:18">
      <c r="E38" s="92" t="s">
        <v>174</v>
      </c>
      <c r="F38" s="56" t="s">
        <v>184</v>
      </c>
      <c r="H38" s="56">
        <v>1</v>
      </c>
      <c r="I38" s="56">
        <v>3</v>
      </c>
      <c r="J38" s="56">
        <v>1</v>
      </c>
      <c r="K38" s="56">
        <v>1</v>
      </c>
      <c r="L38" s="56"/>
      <c r="M38" s="56"/>
      <c r="N38" s="56"/>
      <c r="R38" s="93"/>
    </row>
    <row r="39" spans="5:18">
      <c r="E39" s="92" t="s">
        <v>206</v>
      </c>
      <c r="F39" s="56" t="s">
        <v>185</v>
      </c>
      <c r="H39" s="56">
        <v>2</v>
      </c>
      <c r="I39" s="56">
        <v>4</v>
      </c>
      <c r="J39" s="56">
        <v>2</v>
      </c>
      <c r="K39" s="56">
        <v>2</v>
      </c>
      <c r="L39" s="56"/>
      <c r="M39" s="56"/>
      <c r="N39" s="56"/>
      <c r="R39" s="93"/>
    </row>
    <row r="40" spans="5:18">
      <c r="E40" s="92" t="s">
        <v>175</v>
      </c>
      <c r="F40" s="56" t="s">
        <v>204</v>
      </c>
      <c r="H40" s="56">
        <v>3</v>
      </c>
      <c r="I40" s="56">
        <v>5</v>
      </c>
      <c r="J40" s="56">
        <v>3</v>
      </c>
      <c r="K40" s="56">
        <v>3</v>
      </c>
      <c r="L40" s="56"/>
      <c r="M40" s="56"/>
      <c r="N40" s="56"/>
      <c r="R40" s="93"/>
    </row>
    <row r="41" spans="5:18">
      <c r="E41" s="92" t="s">
        <v>176</v>
      </c>
      <c r="F41" s="56" t="s">
        <v>205</v>
      </c>
      <c r="H41" s="56">
        <v>4</v>
      </c>
      <c r="I41" s="56">
        <v>6</v>
      </c>
      <c r="J41" s="56">
        <v>4</v>
      </c>
      <c r="K41" s="56">
        <v>4</v>
      </c>
      <c r="L41" s="56"/>
      <c r="M41" s="56"/>
      <c r="N41" s="56"/>
      <c r="R41" s="93"/>
    </row>
    <row r="42" spans="5:18">
      <c r="E42" s="92" t="s">
        <v>177</v>
      </c>
      <c r="H42" s="56">
        <v>5</v>
      </c>
      <c r="I42" s="56">
        <v>7</v>
      </c>
      <c r="J42" s="56">
        <v>5</v>
      </c>
      <c r="K42" s="56"/>
      <c r="L42" s="56"/>
      <c r="M42" s="56"/>
      <c r="N42" s="56"/>
      <c r="R42" s="93"/>
    </row>
    <row r="43" spans="5:18">
      <c r="E43" s="92"/>
      <c r="G43" s="56"/>
      <c r="H43" s="56">
        <v>6</v>
      </c>
      <c r="I43" s="56">
        <v>8</v>
      </c>
      <c r="J43" s="56">
        <v>6</v>
      </c>
      <c r="K43" s="56"/>
      <c r="L43" s="56"/>
      <c r="M43" s="56"/>
      <c r="N43" s="56"/>
      <c r="R43" s="93"/>
    </row>
    <row r="44" spans="5:18">
      <c r="E44" s="92"/>
      <c r="G44" s="56"/>
      <c r="H44" s="56">
        <v>7</v>
      </c>
      <c r="I44" s="56"/>
      <c r="J44" s="56"/>
      <c r="K44" s="56"/>
      <c r="L44" s="56"/>
      <c r="M44" s="56"/>
      <c r="N44" s="56"/>
      <c r="R44" s="93"/>
    </row>
    <row r="45" spans="5:18">
      <c r="E45" s="92"/>
      <c r="G45" s="56"/>
      <c r="H45" s="56">
        <v>8</v>
      </c>
      <c r="I45" s="56"/>
      <c r="J45" s="56"/>
      <c r="K45" s="56"/>
      <c r="L45" s="56"/>
      <c r="M45" s="56"/>
      <c r="N45" s="56"/>
      <c r="R45" s="93"/>
    </row>
    <row r="46" spans="5:18">
      <c r="E46" s="92"/>
      <c r="G46" s="56"/>
      <c r="H46" s="56">
        <v>9</v>
      </c>
      <c r="I46" s="56"/>
      <c r="J46" s="56"/>
      <c r="K46" s="56"/>
      <c r="L46" s="56"/>
      <c r="M46" s="56"/>
      <c r="N46" s="56"/>
      <c r="R46" s="93"/>
    </row>
    <row r="47" spans="5:18">
      <c r="E47" s="92"/>
      <c r="G47" s="56"/>
      <c r="H47" s="56">
        <v>10</v>
      </c>
      <c r="I47" s="56"/>
      <c r="J47" s="56"/>
      <c r="K47" s="56"/>
      <c r="L47" s="56"/>
      <c r="M47" s="56"/>
      <c r="N47" s="56"/>
      <c r="R47" s="93"/>
    </row>
    <row r="48" spans="5:18">
      <c r="E48" s="92"/>
      <c r="G48" s="56"/>
      <c r="H48" s="56">
        <v>11</v>
      </c>
      <c r="I48" s="56"/>
      <c r="J48" s="56"/>
      <c r="K48" s="56"/>
      <c r="L48" s="56"/>
      <c r="M48" s="56"/>
      <c r="N48" s="56"/>
      <c r="R48" s="93"/>
    </row>
    <row r="49" spans="5:18">
      <c r="E49" s="96"/>
      <c r="F49" s="97"/>
      <c r="G49" s="98"/>
      <c r="H49" s="98">
        <v>12</v>
      </c>
      <c r="I49" s="98"/>
      <c r="J49" s="98"/>
      <c r="K49" s="98"/>
      <c r="L49" s="98"/>
      <c r="M49" s="98"/>
      <c r="N49" s="98"/>
      <c r="O49" s="97"/>
      <c r="P49" s="97"/>
      <c r="Q49" s="97"/>
      <c r="R49" s="99"/>
    </row>
    <row r="50" spans="5:18">
      <c r="G50" s="56"/>
      <c r="H50" s="56"/>
      <c r="I50" s="56"/>
      <c r="J50" s="56"/>
      <c r="K50" s="56"/>
      <c r="L50" s="56"/>
      <c r="M50" s="56"/>
      <c r="N50" s="56"/>
    </row>
    <row r="51" spans="5:18">
      <c r="G51" s="56"/>
      <c r="H51" s="56"/>
      <c r="I51" s="56"/>
      <c r="J51" s="56"/>
      <c r="K51" s="56"/>
      <c r="L51" s="56"/>
      <c r="M51" s="56"/>
      <c r="N51" s="56"/>
    </row>
    <row r="52" spans="5:18">
      <c r="E52" s="70" t="s">
        <v>200</v>
      </c>
      <c r="F52" s="70"/>
      <c r="G52" s="117"/>
      <c r="H52" s="117"/>
      <c r="I52" s="56"/>
      <c r="J52" s="56"/>
      <c r="K52" s="56"/>
      <c r="L52" s="56"/>
      <c r="M52" s="56"/>
      <c r="N52" s="56"/>
    </row>
    <row r="53" spans="5:18" ht="13.5" thickBot="1">
      <c r="E53" s="115" t="s">
        <v>141</v>
      </c>
      <c r="F53" s="114" t="s">
        <v>2</v>
      </c>
      <c r="G53" s="114" t="s">
        <v>3</v>
      </c>
      <c r="H53" s="116" t="s">
        <v>4</v>
      </c>
      <c r="I53" s="56"/>
      <c r="K53" s="56"/>
      <c r="L53" s="56"/>
      <c r="N53" s="56"/>
    </row>
    <row r="54" spans="5:18">
      <c r="E54" s="84">
        <v>2017</v>
      </c>
      <c r="F54" s="118">
        <v>9.5000000000000001E-2</v>
      </c>
      <c r="G54" s="118">
        <v>0.17</v>
      </c>
      <c r="H54" s="119">
        <v>9.5000000000000001E-2</v>
      </c>
      <c r="I54" s="56"/>
      <c r="J54" s="56"/>
      <c r="K54" s="56"/>
      <c r="L54" s="56"/>
      <c r="M54" s="56"/>
      <c r="N54" s="56"/>
    </row>
    <row r="55" spans="5:18">
      <c r="E55" s="84">
        <v>2018</v>
      </c>
      <c r="F55" s="118">
        <v>9.5000000000000001E-2</v>
      </c>
      <c r="G55" s="118">
        <v>0.17</v>
      </c>
      <c r="H55" s="119">
        <v>9.5000000000000001E-2</v>
      </c>
      <c r="I55" s="56"/>
      <c r="J55" s="56"/>
      <c r="K55" s="56"/>
      <c r="L55" s="56"/>
      <c r="M55" s="56"/>
      <c r="N55" s="56"/>
    </row>
    <row r="56" spans="5:18">
      <c r="E56" s="84">
        <v>2019</v>
      </c>
      <c r="F56" s="118">
        <v>9.5000000000000001E-2</v>
      </c>
      <c r="G56" s="118">
        <v>0.17</v>
      </c>
      <c r="H56" s="119">
        <v>9.5000000000000001E-2</v>
      </c>
      <c r="I56" s="56"/>
      <c r="J56" s="56"/>
      <c r="K56" s="56"/>
      <c r="L56" s="56"/>
      <c r="M56" s="56"/>
      <c r="N56" s="56"/>
    </row>
    <row r="57" spans="5:18">
      <c r="E57" s="84">
        <v>2020</v>
      </c>
      <c r="F57" s="118">
        <v>9.5000000000000001E-2</v>
      </c>
      <c r="G57" s="118">
        <v>0.17</v>
      </c>
      <c r="H57" s="119">
        <v>9.5000000000000001E-2</v>
      </c>
      <c r="I57" s="56"/>
      <c r="J57" s="56"/>
      <c r="K57" s="56"/>
      <c r="L57" s="56"/>
      <c r="M57" s="56"/>
      <c r="N57" s="56"/>
    </row>
    <row r="58" spans="5:18">
      <c r="E58" s="84">
        <v>2021</v>
      </c>
      <c r="F58" s="118">
        <v>0.17</v>
      </c>
      <c r="G58" s="118">
        <v>0.17</v>
      </c>
      <c r="H58" s="119">
        <v>0.1</v>
      </c>
      <c r="I58" s="56"/>
      <c r="J58" s="56"/>
      <c r="K58" s="56"/>
      <c r="L58" s="56"/>
      <c r="M58" s="56"/>
      <c r="N58" s="56"/>
    </row>
    <row r="59" spans="5:18">
      <c r="E59" s="84">
        <v>2022</v>
      </c>
      <c r="F59" s="118">
        <v>0.17</v>
      </c>
      <c r="G59" s="118">
        <v>0.17</v>
      </c>
      <c r="H59" s="119">
        <v>0.105</v>
      </c>
      <c r="I59" s="56"/>
      <c r="J59" s="56"/>
      <c r="K59" s="56"/>
      <c r="L59" s="56"/>
      <c r="M59" s="56"/>
      <c r="N59" s="56"/>
    </row>
    <row r="60" spans="5:18">
      <c r="E60" s="84">
        <v>2023</v>
      </c>
      <c r="F60" s="118">
        <v>0.17</v>
      </c>
      <c r="G60" s="118">
        <v>0.17</v>
      </c>
      <c r="H60" s="119">
        <v>0.11</v>
      </c>
      <c r="I60" s="56"/>
      <c r="J60" s="56"/>
      <c r="K60" s="56"/>
      <c r="L60" s="56"/>
      <c r="M60" s="56"/>
      <c r="N60" s="56"/>
    </row>
    <row r="61" spans="5:18">
      <c r="E61" s="63"/>
      <c r="F61" s="120"/>
      <c r="G61" s="118"/>
      <c r="H61" s="119"/>
      <c r="I61" s="56"/>
      <c r="J61" s="56"/>
      <c r="K61" s="56"/>
      <c r="L61" s="56"/>
      <c r="M61" s="56"/>
      <c r="N61" s="56"/>
    </row>
    <row r="62" spans="5:18">
      <c r="E62" s="63"/>
      <c r="F62" s="120"/>
      <c r="G62" s="118"/>
      <c r="H62" s="119"/>
      <c r="I62" s="56"/>
      <c r="J62" s="56"/>
      <c r="K62" s="56"/>
      <c r="L62" s="56"/>
      <c r="M62" s="56"/>
      <c r="N62" s="56"/>
    </row>
    <row r="63" spans="5:18">
      <c r="E63" s="63"/>
      <c r="F63" s="120"/>
      <c r="G63" s="118"/>
      <c r="H63" s="119"/>
      <c r="I63" s="56"/>
      <c r="J63" s="56"/>
      <c r="K63" s="56"/>
      <c r="L63" s="56"/>
      <c r="M63" s="56"/>
      <c r="N63" s="56"/>
    </row>
    <row r="64" spans="5:18">
      <c r="E64" s="63"/>
      <c r="F64" s="120"/>
      <c r="G64" s="118"/>
      <c r="H64" s="119"/>
      <c r="I64" s="56"/>
      <c r="J64" s="56"/>
      <c r="K64" s="56"/>
      <c r="L64" s="56"/>
      <c r="M64" s="56"/>
      <c r="N64" s="56"/>
    </row>
    <row r="65" spans="5:14">
      <c r="E65" s="65"/>
      <c r="F65" s="121"/>
      <c r="G65" s="122"/>
      <c r="H65" s="123"/>
      <c r="I65" s="56"/>
      <c r="J65" s="56"/>
      <c r="K65" s="56"/>
      <c r="L65" s="56"/>
      <c r="M65" s="56"/>
      <c r="N65" s="56"/>
    </row>
    <row r="66" spans="5:14">
      <c r="G66" s="56"/>
      <c r="H66" s="56"/>
      <c r="I66" s="56"/>
      <c r="J66" s="56"/>
      <c r="K66" s="56"/>
      <c r="L66" s="56"/>
      <c r="M66" s="56"/>
      <c r="N66" s="56"/>
    </row>
    <row r="67" spans="5:14">
      <c r="G67" s="56"/>
      <c r="H67" s="56"/>
      <c r="I67" s="56"/>
      <c r="J67" s="56"/>
      <c r="K67" s="56"/>
      <c r="L67" s="56"/>
      <c r="M67" s="56"/>
      <c r="N67" s="56"/>
    </row>
    <row r="68" spans="5:14">
      <c r="G68" s="56"/>
      <c r="H68" s="56"/>
      <c r="I68" s="56"/>
      <c r="J68" s="56"/>
      <c r="K68" s="56"/>
      <c r="L68" s="56"/>
      <c r="M68" s="56"/>
      <c r="N68" s="56"/>
    </row>
    <row r="69" spans="5:14">
      <c r="G69" s="56"/>
      <c r="H69" s="56"/>
      <c r="I69" s="56"/>
      <c r="J69" s="56"/>
      <c r="K69" s="56"/>
      <c r="L69" s="56"/>
      <c r="M69" s="56"/>
      <c r="N69" s="56"/>
    </row>
    <row r="70" spans="5:14">
      <c r="G70" s="56"/>
      <c r="H70" s="56"/>
      <c r="I70" s="56"/>
      <c r="J70" s="56"/>
      <c r="K70" s="56"/>
      <c r="L70" s="56"/>
      <c r="M70" s="56"/>
      <c r="N70" s="56"/>
    </row>
    <row r="71" spans="5:14">
      <c r="G71" s="56"/>
      <c r="H71" s="56"/>
      <c r="I71" s="56"/>
      <c r="J71" s="56"/>
      <c r="K71" s="56"/>
      <c r="L71" s="56"/>
      <c r="M71" s="56"/>
      <c r="N71" s="56"/>
    </row>
    <row r="72" spans="5:14">
      <c r="G72" s="56"/>
      <c r="H72" s="56"/>
      <c r="I72" s="56"/>
      <c r="J72" s="56"/>
      <c r="K72" s="56"/>
      <c r="L72" s="56"/>
      <c r="M72" s="56"/>
      <c r="N72" s="56"/>
    </row>
    <row r="73" spans="5:14">
      <c r="G73" s="56"/>
      <c r="H73" s="56"/>
      <c r="I73" s="56"/>
      <c r="J73" s="56"/>
      <c r="K73" s="56"/>
      <c r="L73" s="56"/>
      <c r="M73" s="56"/>
      <c r="N73" s="56"/>
    </row>
    <row r="74" spans="5:14">
      <c r="G74" s="56"/>
      <c r="H74" s="56"/>
      <c r="I74" s="56"/>
      <c r="J74" s="56"/>
      <c r="K74" s="56"/>
      <c r="L74" s="56"/>
      <c r="M74" s="56"/>
      <c r="N74" s="56"/>
    </row>
    <row r="75" spans="5:14">
      <c r="G75" s="56"/>
      <c r="H75" s="56"/>
      <c r="I75" s="56"/>
      <c r="J75" s="56"/>
      <c r="K75" s="56"/>
      <c r="L75" s="56"/>
      <c r="M75" s="56"/>
      <c r="N75" s="56"/>
    </row>
    <row r="76" spans="5:14">
      <c r="G76" s="56"/>
      <c r="H76" s="56"/>
      <c r="I76" s="56"/>
      <c r="J76" s="56"/>
      <c r="K76" s="56"/>
      <c r="L76" s="56"/>
      <c r="M76" s="56"/>
      <c r="N76" s="56"/>
    </row>
    <row r="77" spans="5:14">
      <c r="G77" s="56"/>
      <c r="H77" s="56"/>
      <c r="I77" s="56"/>
      <c r="J77" s="56"/>
      <c r="K77" s="56"/>
      <c r="L77" s="56"/>
      <c r="M77" s="56"/>
      <c r="N77" s="56"/>
    </row>
    <row r="78" spans="5:14">
      <c r="G78" s="56"/>
      <c r="H78" s="56"/>
      <c r="I78" s="56"/>
      <c r="J78" s="56"/>
      <c r="K78" s="56"/>
      <c r="L78" s="56"/>
      <c r="M78" s="56"/>
      <c r="N78" s="56"/>
    </row>
    <row r="79" spans="5:14">
      <c r="G79" s="56"/>
      <c r="H79" s="56"/>
      <c r="I79" s="56"/>
      <c r="J79" s="56"/>
      <c r="K79" s="56"/>
      <c r="L79" s="56"/>
      <c r="M79" s="56"/>
      <c r="N79" s="56"/>
    </row>
    <row r="80" spans="5:14">
      <c r="G80" s="56"/>
      <c r="H80" s="56"/>
      <c r="I80" s="56"/>
      <c r="J80" s="56"/>
      <c r="K80" s="56"/>
      <c r="L80" s="56"/>
      <c r="M80" s="56"/>
      <c r="N80" s="56"/>
    </row>
    <row r="81" spans="7:14">
      <c r="G81" s="56"/>
      <c r="H81" s="56"/>
      <c r="I81" s="56"/>
      <c r="J81" s="56"/>
      <c r="K81" s="56"/>
      <c r="L81" s="56"/>
      <c r="M81" s="56"/>
      <c r="N81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37</vt:i4>
      </vt:variant>
    </vt:vector>
  </HeadingPairs>
  <TitlesOfParts>
    <vt:vector size="42" baseType="lpstr">
      <vt:lpstr>Eff Jul 23 - Continuing FT</vt:lpstr>
      <vt:lpstr>Eff Jul 23 - Casual</vt:lpstr>
      <vt:lpstr>Ref (9.5) eff Jul 21 - FT Con </vt:lpstr>
      <vt:lpstr>BE_Salary Plan</vt:lpstr>
      <vt:lpstr>BE_Lookup</vt:lpstr>
      <vt:lpstr>AnnualLeaveLoadingCap</vt:lpstr>
      <vt:lpstr>Clear_Cas_Salary</vt:lpstr>
      <vt:lpstr>Clear_Cont_FT_Salary</vt:lpstr>
      <vt:lpstr>Clear_Loading</vt:lpstr>
      <vt:lpstr>DropDown_Cat</vt:lpstr>
      <vt:lpstr>List_ACA</vt:lpstr>
      <vt:lpstr>List_AgreedSal</vt:lpstr>
      <vt:lpstr>List_ELT</vt:lpstr>
      <vt:lpstr>List_HEO</vt:lpstr>
      <vt:lpstr>List_Snr</vt:lpstr>
      <vt:lpstr>List_STF</vt:lpstr>
      <vt:lpstr>Lookup_SalaryPlan</vt:lpstr>
      <vt:lpstr>Lookup_SalaryPlanCode</vt:lpstr>
      <vt:lpstr>Lookup_SalaryYr</vt:lpstr>
      <vt:lpstr>Lookup_SuperRate</vt:lpstr>
      <vt:lpstr>LU_DS</vt:lpstr>
      <vt:lpstr>LU_ELT</vt:lpstr>
      <vt:lpstr>LU_Lvl1</vt:lpstr>
      <vt:lpstr>LU_LVL10</vt:lpstr>
      <vt:lpstr>LU_lvl2</vt:lpstr>
      <vt:lpstr>LU_lvl3</vt:lpstr>
      <vt:lpstr>LU_LVL4</vt:lpstr>
      <vt:lpstr>LU_LVL5</vt:lpstr>
      <vt:lpstr>LU_LVL56</vt:lpstr>
      <vt:lpstr>LU_LVL6</vt:lpstr>
      <vt:lpstr>LU_LVL7</vt:lpstr>
      <vt:lpstr>LU_LVL8</vt:lpstr>
      <vt:lpstr>LU_LVL9</vt:lpstr>
      <vt:lpstr>LU_LvlA</vt:lpstr>
      <vt:lpstr>LU_LvlB</vt:lpstr>
      <vt:lpstr>LU_LvlC</vt:lpstr>
      <vt:lpstr>LU_LvlD</vt:lpstr>
      <vt:lpstr>LU_LvlE</vt:lpstr>
      <vt:lpstr>LU_STFA</vt:lpstr>
      <vt:lpstr>LU_STFB</vt:lpstr>
      <vt:lpstr>'Eff Jul 23 - Casual'!Print_Area</vt:lpstr>
      <vt:lpstr>'Eff Jul 23 - Continuing FT'!Print_Area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a1613215</dc:creator>
  <cp:lastModifiedBy>Madelyn Moss</cp:lastModifiedBy>
  <cp:lastPrinted>2020-11-11T04:17:51Z</cp:lastPrinted>
  <dcterms:created xsi:type="dcterms:W3CDTF">2014-06-26T04:58:55Z</dcterms:created>
  <dcterms:modified xsi:type="dcterms:W3CDTF">2023-07-14T02:03:08Z</dcterms:modified>
</cp:coreProperties>
</file>