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mc:AlternateContent xmlns:mc="http://schemas.openxmlformats.org/markup-compatibility/2006">
    <mc:Choice Requires="x15">
      <x15ac:absPath xmlns:x15ac="http://schemas.microsoft.com/office/spreadsheetml/2010/11/ac" url="\\uofa\shared$\Services_Resources\Property_Services\Shared\SBI\Procurement\Project Forms\Sustainability Updates - Dammika\Final Volume O - March 2025 update\"/>
    </mc:Choice>
  </mc:AlternateContent>
  <xr:revisionPtr revIDLastSave="0" documentId="13_ncr:1_{8F1FD42E-421B-450F-BAB5-DA4C63EBD7E6}" xr6:coauthVersionLast="47" xr6:coauthVersionMax="47" xr10:uidLastSave="{00000000-0000-0000-0000-000000000000}"/>
  <bookViews>
    <workbookView xWindow="-11745" yWindow="-21600" windowWidth="25800" windowHeight="21000" tabRatio="658" xr2:uid="{00000000-000D-0000-FFFF-FFFF00000000}"/>
  </bookViews>
  <sheets>
    <sheet name="Overview" sheetId="1" r:id="rId1"/>
    <sheet name="PR1-Lighting" sheetId="4" r:id="rId2"/>
    <sheet name="PR2-Space HVAC" sheetId="8" r:id="rId3"/>
    <sheet name="PR3-Process Heating &amp; Cooling" sheetId="9" r:id="rId4"/>
    <sheet name="PR4-BE" sheetId="11" r:id="rId5"/>
    <sheet name="PR5-Equip" sheetId="12" r:id="rId6"/>
    <sheet name="PR6-Renewable" sheetId="5" r:id="rId7"/>
    <sheet name="PR7-Water" sheetId="13" r:id="rId8"/>
    <sheet name="Data Base" sheetId="3" state="hidden" r:id="rId9"/>
  </sheets>
  <definedNames>
    <definedName name="_Toc110343356" localSheetId="0">Overview!$A$62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4" l="1"/>
  <c r="D26" i="12" l="1"/>
  <c r="AC9" i="12"/>
  <c r="AC8" i="12"/>
  <c r="P9" i="12"/>
  <c r="P8" i="12"/>
  <c r="I9" i="12"/>
  <c r="J9" i="12" s="1"/>
  <c r="I8" i="12"/>
  <c r="J8" i="12"/>
  <c r="Y9" i="12"/>
  <c r="X9" i="12"/>
  <c r="X8" i="12"/>
  <c r="Y8" i="12"/>
  <c r="E26" i="12"/>
  <c r="C26" i="12"/>
  <c r="E21" i="4" l="1"/>
  <c r="D21" i="4"/>
  <c r="B21" i="4"/>
  <c r="A21" i="4"/>
  <c r="W9" i="4"/>
  <c r="W10" i="4"/>
  <c r="W8" i="4"/>
  <c r="J9" i="4"/>
  <c r="J10" i="4"/>
  <c r="J8" i="4"/>
  <c r="AG16" i="4"/>
  <c r="AF16" i="4"/>
  <c r="Q17" i="11"/>
  <c r="R17" i="11"/>
  <c r="S17" i="11"/>
  <c r="T17" i="11"/>
  <c r="U17" i="11"/>
  <c r="AA18" i="9"/>
  <c r="AA19" i="8"/>
  <c r="AH16" i="4"/>
  <c r="AI16" i="4"/>
  <c r="AB18" i="9"/>
  <c r="AC18" i="9"/>
  <c r="AD18" i="9"/>
  <c r="AE18" i="9"/>
  <c r="AF18" i="9"/>
  <c r="AG18" i="9"/>
  <c r="AG19" i="8"/>
  <c r="AF19" i="8"/>
  <c r="AE19" i="8"/>
  <c r="AC19" i="8"/>
  <c r="O18" i="13"/>
  <c r="N18" i="13"/>
  <c r="V14" i="5"/>
  <c r="W14" i="5"/>
  <c r="X14" i="5"/>
  <c r="Y14" i="5"/>
  <c r="T14" i="5"/>
  <c r="U14" i="5"/>
  <c r="P17" i="11"/>
  <c r="AB19" i="8"/>
  <c r="AD19" i="8"/>
  <c r="O9" i="4"/>
  <c r="O10" i="4"/>
  <c r="K9" i="4"/>
  <c r="K8" i="4"/>
  <c r="AB9" i="4" l="1"/>
  <c r="AB10" i="4"/>
  <c r="AB8" i="4"/>
  <c r="X9" i="4"/>
  <c r="X8" i="4"/>
  <c r="AJ10" i="12" l="1"/>
  <c r="AD10" i="12"/>
  <c r="AE10" i="12"/>
  <c r="AK10" i="12" s="1"/>
  <c r="AG10" i="12"/>
  <c r="Q10" i="12"/>
  <c r="AI10" i="12" s="1"/>
  <c r="AI19" i="12" s="1"/>
  <c r="L10" i="12"/>
  <c r="AH10" i="12" s="1"/>
  <c r="AH19" i="12" s="1"/>
  <c r="E24" i="13" l="1"/>
  <c r="C24" i="13" l="1"/>
  <c r="G26" i="11"/>
  <c r="F26" i="11"/>
  <c r="E26" i="11"/>
  <c r="B26" i="11"/>
  <c r="A26" i="11"/>
  <c r="D26" i="11" s="1"/>
  <c r="I26" i="11" s="1"/>
  <c r="G24" i="9"/>
  <c r="F24" i="9"/>
  <c r="E24" i="9"/>
  <c r="C24" i="9"/>
  <c r="B24" i="9"/>
  <c r="A24" i="9"/>
  <c r="E25" i="8"/>
  <c r="A25" i="8"/>
  <c r="B22" i="5" l="1"/>
  <c r="D22" i="5"/>
  <c r="E22" i="5"/>
  <c r="U9" i="5"/>
  <c r="H9" i="5"/>
  <c r="I9" i="5" s="1"/>
  <c r="K9" i="5"/>
  <c r="J9" i="5"/>
  <c r="AF9" i="9"/>
  <c r="AD9" i="9"/>
  <c r="AC9" i="9"/>
  <c r="AB9" i="9"/>
  <c r="AA9" i="9"/>
  <c r="Z9" i="9"/>
  <c r="Y9" i="9"/>
  <c r="X9" i="9"/>
  <c r="W9" i="9"/>
  <c r="O9" i="9"/>
  <c r="N9" i="9"/>
  <c r="M9" i="9"/>
  <c r="L9" i="9"/>
  <c r="AF8" i="9"/>
  <c r="AC8" i="9"/>
  <c r="AB8" i="9"/>
  <c r="AA8" i="9"/>
  <c r="Z8" i="9"/>
  <c r="Y8" i="9"/>
  <c r="X8" i="9"/>
  <c r="W8" i="9"/>
  <c r="O8" i="9"/>
  <c r="N8" i="9"/>
  <c r="M8" i="9"/>
  <c r="L8" i="9"/>
  <c r="AD8" i="9" s="1"/>
  <c r="AA10" i="8"/>
  <c r="AA9" i="8"/>
  <c r="F22" i="5" l="1"/>
  <c r="P9" i="5"/>
  <c r="V9" i="5" s="1"/>
  <c r="AG9" i="9"/>
  <c r="AE8" i="9"/>
  <c r="AG8" i="9"/>
  <c r="AE9" i="9"/>
  <c r="Q9" i="5"/>
  <c r="W9" i="5" s="1"/>
  <c r="D24" i="9"/>
  <c r="I24" i="9" s="1"/>
  <c r="AG10" i="4"/>
  <c r="Q10" i="4"/>
  <c r="P10" i="4"/>
  <c r="AD10" i="4"/>
  <c r="AC10" i="4"/>
  <c r="AE10" i="4"/>
  <c r="N9" i="11"/>
  <c r="H9" i="11"/>
  <c r="B25" i="8"/>
  <c r="AB9" i="12"/>
  <c r="O9" i="12"/>
  <c r="N9" i="13"/>
  <c r="M9" i="13"/>
  <c r="I9" i="13"/>
  <c r="AC10" i="8"/>
  <c r="AC9" i="8"/>
  <c r="O10" i="8"/>
  <c r="X10" i="8"/>
  <c r="W10" i="8"/>
  <c r="Z10" i="8"/>
  <c r="M10" i="8"/>
  <c r="L10" i="8"/>
  <c r="R8" i="5"/>
  <c r="J8" i="5"/>
  <c r="S9" i="12" l="1"/>
  <c r="AH10" i="4"/>
  <c r="T8" i="5"/>
  <c r="A24" i="13"/>
  <c r="B24" i="13" s="1"/>
  <c r="O9" i="13"/>
  <c r="AI10" i="4"/>
  <c r="T9" i="11"/>
  <c r="I9" i="11"/>
  <c r="O9" i="11"/>
  <c r="L9" i="11"/>
  <c r="M9" i="11"/>
  <c r="P9" i="11"/>
  <c r="Q9" i="11"/>
  <c r="F9" i="11"/>
  <c r="G9" i="11"/>
  <c r="AE10" i="8"/>
  <c r="AD10" i="8"/>
  <c r="AG10" i="8"/>
  <c r="AB10" i="8"/>
  <c r="Y10" i="8"/>
  <c r="N10" i="8"/>
  <c r="X8" i="5"/>
  <c r="M8" i="13"/>
  <c r="I8" i="13"/>
  <c r="N8" i="13"/>
  <c r="K8" i="5"/>
  <c r="S8" i="5"/>
  <c r="AB8" i="12"/>
  <c r="O8" i="12"/>
  <c r="O8" i="11"/>
  <c r="I8" i="11"/>
  <c r="X9" i="8"/>
  <c r="W9" i="8"/>
  <c r="M9" i="8"/>
  <c r="L9" i="8"/>
  <c r="C25" i="8"/>
  <c r="D25" i="8" s="1"/>
  <c r="I25" i="8" s="1"/>
  <c r="Z9" i="8"/>
  <c r="O9" i="8"/>
  <c r="AC9" i="4"/>
  <c r="AD8" i="4"/>
  <c r="AE8" i="12" l="1"/>
  <c r="AF9" i="12"/>
  <c r="AE9" i="12"/>
  <c r="AK9" i="12" s="1"/>
  <c r="R9" i="12"/>
  <c r="AF8" i="12"/>
  <c r="O8" i="13"/>
  <c r="U8" i="11"/>
  <c r="L8" i="11"/>
  <c r="U9" i="11"/>
  <c r="S9" i="11"/>
  <c r="R9" i="11"/>
  <c r="AG8" i="4"/>
  <c r="AF10" i="8"/>
  <c r="F25" i="8" s="1"/>
  <c r="G25" i="8"/>
  <c r="AE9" i="8"/>
  <c r="Y8" i="5"/>
  <c r="G8" i="11"/>
  <c r="M8" i="11"/>
  <c r="F8" i="11"/>
  <c r="Q8" i="11"/>
  <c r="P8" i="11"/>
  <c r="N8" i="11"/>
  <c r="H8" i="11"/>
  <c r="AD9" i="8"/>
  <c r="Y9" i="8"/>
  <c r="AG9" i="8"/>
  <c r="N9" i="8"/>
  <c r="AG9" i="4"/>
  <c r="AE8" i="4"/>
  <c r="AE9" i="4"/>
  <c r="AD9" i="4"/>
  <c r="AC8" i="4"/>
  <c r="P9" i="4"/>
  <c r="AH9" i="4" s="1"/>
  <c r="Q9" i="4"/>
  <c r="AB9" i="8"/>
  <c r="AF19" i="12" l="1"/>
  <c r="B26" i="12" s="1"/>
  <c r="I26" i="12" s="1"/>
  <c r="AE16" i="4"/>
  <c r="AD9" i="12"/>
  <c r="AJ9" i="12" s="1"/>
  <c r="AG9" i="12"/>
  <c r="T8" i="11"/>
  <c r="AF9" i="8"/>
  <c r="R8" i="11"/>
  <c r="S8" i="11"/>
  <c r="AF9" i="4"/>
  <c r="AG8" i="12"/>
  <c r="AD8" i="12"/>
  <c r="S8" i="12"/>
  <c r="AK8" i="12" s="1"/>
  <c r="AK19" i="12" s="1"/>
  <c r="G26" i="12" s="1"/>
  <c r="R8" i="12"/>
  <c r="AI9" i="4"/>
  <c r="AF8" i="4"/>
  <c r="Q8" i="4"/>
  <c r="AI8" i="4" s="1"/>
  <c r="P8" i="4"/>
  <c r="AH8" i="4" s="1"/>
  <c r="AG19" i="12" l="1"/>
  <c r="A26" i="12" s="1"/>
  <c r="G21" i="4"/>
  <c r="C21" i="4"/>
  <c r="AJ8" i="12"/>
  <c r="AJ19" i="12" s="1"/>
  <c r="F26" i="12" s="1"/>
  <c r="A22" i="5"/>
  <c r="C22" i="5"/>
  <c r="H22"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17" authorId="0" shapeId="0" xr:uid="{CFC782F7-A548-4ACE-A107-6AC808BDE2A2}">
      <text>
        <r>
          <rPr>
            <b/>
            <sz val="9"/>
            <color indexed="81"/>
            <rFont val="Tahoma"/>
            <family val="2"/>
          </rPr>
          <t>User:</t>
        </r>
        <r>
          <rPr>
            <sz val="9"/>
            <color indexed="81"/>
            <rFont val="Tahoma"/>
            <family val="2"/>
          </rPr>
          <t xml:space="preserve">
Please replace 'you' with 'The user needs 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Dammika Weerakkody</author>
  </authors>
  <commentList>
    <comment ref="J7" authorId="0" shapeId="0" xr:uid="{0774CDD1-1834-4849-8EF4-06898E82D134}">
      <text>
        <r>
          <rPr>
            <b/>
            <sz val="9"/>
            <color indexed="81"/>
            <rFont val="Tahoma"/>
            <family val="2"/>
          </rPr>
          <t>UoA:</t>
        </r>
        <r>
          <rPr>
            <sz val="9"/>
            <color indexed="81"/>
            <rFont val="Tahoma"/>
            <family val="2"/>
          </rPr>
          <t xml:space="preserve">
Use appropriate power factor, in this eaxmple 0.95 power factor is used.</t>
        </r>
      </text>
    </comment>
    <comment ref="L7" authorId="0" shapeId="0" xr:uid="{7B6E191A-9FC1-4825-A3E5-33183835C390}">
      <text>
        <r>
          <rPr>
            <b/>
            <sz val="9"/>
            <color indexed="81"/>
            <rFont val="Tahoma"/>
            <family val="2"/>
          </rPr>
          <t>UoA:</t>
        </r>
        <r>
          <rPr>
            <sz val="9"/>
            <color indexed="81"/>
            <rFont val="Tahoma"/>
            <family val="2"/>
          </rPr>
          <t xml:space="preserve">
Use appropriate diversity factor, examples: 
Motion sensors - 50% common area corridors or 25% common area toilets, 
Manual control - 100%</t>
        </r>
      </text>
    </comment>
    <comment ref="W7" authorId="0" shapeId="0" xr:uid="{95C475E7-51E1-41F0-831C-36C51CD54196}">
      <text>
        <r>
          <rPr>
            <b/>
            <sz val="9"/>
            <color indexed="81"/>
            <rFont val="Tahoma"/>
            <family val="2"/>
          </rPr>
          <t>UoA:</t>
        </r>
        <r>
          <rPr>
            <sz val="9"/>
            <color indexed="81"/>
            <rFont val="Tahoma"/>
            <family val="2"/>
          </rPr>
          <t xml:space="preserve">
Use appropriate power factor, in this eaxmple 0.95 power factor is used.</t>
        </r>
      </text>
    </comment>
    <comment ref="Y7" authorId="0" shapeId="0" xr:uid="{21070623-BEF0-4D9A-9AF2-8C2CEF8E77EB}">
      <text>
        <r>
          <rPr>
            <b/>
            <sz val="9"/>
            <color indexed="81"/>
            <rFont val="Tahoma"/>
            <family val="2"/>
          </rPr>
          <t>UoA:</t>
        </r>
        <r>
          <rPr>
            <sz val="9"/>
            <color indexed="81"/>
            <rFont val="Tahoma"/>
            <family val="2"/>
          </rPr>
          <t xml:space="preserve">
Use appropriate diversity factor, examples: 
Motion sensors - 50% common area corridors or 25% common area toilets, 
Manual control - 100%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Dammika Weerakkody</author>
  </authors>
  <commentList>
    <comment ref="J9" authorId="0" shapeId="0" xr:uid="{45957DBE-803D-471F-8B99-3DD90428B7E1}">
      <text>
        <r>
          <rPr>
            <b/>
            <sz val="9"/>
            <color indexed="81"/>
            <rFont val="Tahoma"/>
            <family val="2"/>
          </rPr>
          <t>UoA:</t>
        </r>
        <r>
          <rPr>
            <sz val="9"/>
            <color indexed="81"/>
            <rFont val="Tahoma"/>
            <family val="2"/>
          </rPr>
          <t xml:space="preserve">
You can input the total annual energy consumption along with an explanation of the calculation.</t>
        </r>
      </text>
    </comment>
    <comment ref="U9" authorId="0" shapeId="0" xr:uid="{5281FA11-B5EB-4363-A1A3-58F722375A2E}">
      <text>
        <r>
          <rPr>
            <b/>
            <sz val="9"/>
            <color indexed="81"/>
            <rFont val="Tahoma"/>
            <family val="2"/>
          </rPr>
          <t>UoA:</t>
        </r>
        <r>
          <rPr>
            <sz val="9"/>
            <color indexed="81"/>
            <rFont val="Tahoma"/>
            <family val="2"/>
          </rPr>
          <t xml:space="preserve">
You can input the total annual energy consumption along with an explanation of the calculation.</t>
        </r>
      </text>
    </comment>
    <comment ref="J10" authorId="0" shapeId="0" xr:uid="{52E036E4-A304-403B-B527-112B3DBF5B07}">
      <text>
        <r>
          <rPr>
            <b/>
            <sz val="9"/>
            <color indexed="81"/>
            <rFont val="Tahoma"/>
            <family val="2"/>
          </rPr>
          <t>UoA:</t>
        </r>
        <r>
          <rPr>
            <sz val="9"/>
            <color indexed="81"/>
            <rFont val="Tahoma"/>
            <family val="2"/>
          </rPr>
          <t xml:space="preserve">
You can input the total annual energy consumption along with an explanation of the calculation.</t>
        </r>
      </text>
    </comment>
    <comment ref="K10" authorId="0" shapeId="0" xr:uid="{0B05CF2B-60C3-44AA-A7AE-A947BC6401F3}">
      <text>
        <r>
          <rPr>
            <b/>
            <sz val="9"/>
            <color indexed="81"/>
            <rFont val="Tahoma"/>
            <family val="2"/>
          </rPr>
          <t>UoA:</t>
        </r>
        <r>
          <rPr>
            <sz val="9"/>
            <color indexed="81"/>
            <rFont val="Tahoma"/>
            <family val="2"/>
          </rPr>
          <t xml:space="preserve">
You can input the total annual water consumption along with an explanation of the calculation.</t>
        </r>
      </text>
    </comment>
    <comment ref="U10" authorId="0" shapeId="0" xr:uid="{03C27D9C-5FA4-4730-A30E-A8DC0F75C357}">
      <text>
        <r>
          <rPr>
            <b/>
            <sz val="9"/>
            <color indexed="81"/>
            <rFont val="Tahoma"/>
            <family val="2"/>
          </rPr>
          <t>UoA:</t>
        </r>
        <r>
          <rPr>
            <sz val="9"/>
            <color indexed="81"/>
            <rFont val="Tahoma"/>
            <family val="2"/>
          </rPr>
          <t xml:space="preserve">
You can input the total annual energy consumption along with an explanation of the calculation.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Dammika Weerakkody</author>
  </authors>
  <commentList>
    <comment ref="J8" authorId="0" shapeId="0" xr:uid="{68179282-0062-47D7-8ED4-1DF9B0BC05BF}">
      <text>
        <r>
          <rPr>
            <b/>
            <sz val="9"/>
            <color indexed="81"/>
            <rFont val="Tahoma"/>
            <family val="2"/>
          </rPr>
          <t>UoA:</t>
        </r>
        <r>
          <rPr>
            <sz val="9"/>
            <color indexed="81"/>
            <rFont val="Tahoma"/>
            <family val="2"/>
          </rPr>
          <t xml:space="preserve">
You can input the total annual energy consumption along with an explanation of the calculation.</t>
        </r>
      </text>
    </comment>
    <comment ref="U8" authorId="0" shapeId="0" xr:uid="{31151226-0156-4160-B743-86D2C1ABACFB}">
      <text>
        <r>
          <rPr>
            <b/>
            <sz val="9"/>
            <color indexed="81"/>
            <rFont val="Tahoma"/>
            <family val="2"/>
          </rPr>
          <t>UoA:</t>
        </r>
        <r>
          <rPr>
            <sz val="9"/>
            <color indexed="81"/>
            <rFont val="Tahoma"/>
            <family val="2"/>
          </rPr>
          <t xml:space="preserve">
You can input the total annual energy consumption along with an explanation of the calculation.</t>
        </r>
      </text>
    </comment>
    <comment ref="J9" authorId="0" shapeId="0" xr:uid="{C34FC130-E238-4C63-A6BA-539C6838DF2B}">
      <text>
        <r>
          <rPr>
            <b/>
            <sz val="9"/>
            <color indexed="81"/>
            <rFont val="Tahoma"/>
            <family val="2"/>
          </rPr>
          <t>UoA:</t>
        </r>
        <r>
          <rPr>
            <sz val="9"/>
            <color indexed="81"/>
            <rFont val="Tahoma"/>
            <family val="2"/>
          </rPr>
          <t xml:space="preserve">
You can input the total annual energy consumption along with an explanation of the calculation.</t>
        </r>
      </text>
    </comment>
    <comment ref="K9" authorId="0" shapeId="0" xr:uid="{1F56358B-A292-4C3F-8A92-3C83054D4BB4}">
      <text>
        <r>
          <rPr>
            <b/>
            <sz val="9"/>
            <color indexed="81"/>
            <rFont val="Tahoma"/>
            <family val="2"/>
          </rPr>
          <t>UoA:</t>
        </r>
        <r>
          <rPr>
            <sz val="9"/>
            <color indexed="81"/>
            <rFont val="Tahoma"/>
            <family val="2"/>
          </rPr>
          <t xml:space="preserve">
You can input the total annual water consumption along with an explanation of the calculation.</t>
        </r>
      </text>
    </comment>
    <comment ref="U9" authorId="0" shapeId="0" xr:uid="{F366FADA-3664-4F9B-8E32-DD1AA306CA7F}">
      <text>
        <r>
          <rPr>
            <b/>
            <sz val="9"/>
            <color indexed="81"/>
            <rFont val="Tahoma"/>
            <family val="2"/>
          </rPr>
          <t>UoA:</t>
        </r>
        <r>
          <rPr>
            <sz val="9"/>
            <color indexed="81"/>
            <rFont val="Tahoma"/>
            <family val="2"/>
          </rPr>
          <t xml:space="preserve">
You can input the total annual energy consumption along with an explanation of the calculation.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Dammika Weerakkody</author>
  </authors>
  <commentList>
    <comment ref="I7" authorId="0" shapeId="0" xr:uid="{D8397DBD-0654-4591-BD4C-6A26935FD985}">
      <text>
        <r>
          <rPr>
            <b/>
            <sz val="9"/>
            <color indexed="81"/>
            <rFont val="Tahoma"/>
            <family val="2"/>
          </rPr>
          <t>UoA:</t>
        </r>
        <r>
          <rPr>
            <sz val="9"/>
            <color indexed="81"/>
            <rFont val="Tahoma"/>
            <family val="2"/>
          </rPr>
          <t xml:space="preserve">
Use appropriate power factor, in this eaxmple 0.9 power factor is used.</t>
        </r>
      </text>
    </comment>
    <comment ref="X7" authorId="0" shapeId="0" xr:uid="{02620800-8320-473A-9379-C31DC78037C3}">
      <text>
        <r>
          <rPr>
            <b/>
            <sz val="9"/>
            <color indexed="81"/>
            <rFont val="Tahoma"/>
            <family val="2"/>
          </rPr>
          <t>UoA:</t>
        </r>
        <r>
          <rPr>
            <sz val="9"/>
            <color indexed="81"/>
            <rFont val="Tahoma"/>
            <family val="2"/>
          </rPr>
          <t xml:space="preserve">
Use appropriate power factor, in this eaxmple 0.9 power factor is used.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Dammika Weerakkody</author>
  </authors>
  <commentList>
    <comment ref="G9" authorId="0" shapeId="0" xr:uid="{7C2757B9-9783-4640-88E7-D662EEC31435}">
      <text>
        <r>
          <rPr>
            <b/>
            <sz val="9"/>
            <color indexed="81"/>
            <rFont val="Tahoma"/>
            <family val="2"/>
          </rPr>
          <t xml:space="preserve">
</t>
        </r>
        <r>
          <rPr>
            <sz val="9"/>
            <color indexed="81"/>
            <rFont val="Tahoma"/>
            <family val="2"/>
          </rPr>
          <t>Actual figure to be calculated</t>
        </r>
      </text>
    </comment>
    <comment ref="O9" authorId="0" shapeId="0" xr:uid="{09A7621D-D781-442C-B3F5-29540F6AD5DA}">
      <text>
        <r>
          <rPr>
            <b/>
            <sz val="9"/>
            <color indexed="81"/>
            <rFont val="Tahoma"/>
            <family val="2"/>
          </rPr>
          <t xml:space="preserve">
</t>
        </r>
        <r>
          <rPr>
            <sz val="9"/>
            <color indexed="81"/>
            <rFont val="Tahoma"/>
            <family val="2"/>
          </rPr>
          <t>Actual figure to be calculated</t>
        </r>
      </text>
    </comment>
    <comment ref="P9" authorId="0" shapeId="0" xr:uid="{5CD561B0-3BF6-4B73-9136-D19BF399878A}">
      <text>
        <r>
          <rPr>
            <sz val="9"/>
            <color indexed="81"/>
            <rFont val="Tahoma"/>
            <family val="2"/>
          </rPr>
          <t xml:space="preserve">
It is assumed that 4% emission reduction is achieved in this example, you can use appropriate value </t>
        </r>
      </text>
    </comment>
    <comment ref="Q9" authorId="0" shapeId="0" xr:uid="{26AE0F7C-50FE-48F0-9ACA-8F5B2739FBA0}">
      <text>
        <r>
          <rPr>
            <sz val="9"/>
            <color indexed="81"/>
            <rFont val="Tahoma"/>
            <family val="2"/>
          </rPr>
          <t xml:space="preserve">
It is assumed that 4% emission reduction is achieved in this example, you can use appropriate value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Dammika Weerakkody</author>
  </authors>
  <commentList>
    <comment ref="H8" authorId="0" shapeId="0" xr:uid="{0345F478-9137-4544-BACE-715DC76B9963}">
      <text>
        <r>
          <rPr>
            <b/>
            <sz val="9"/>
            <color indexed="81"/>
            <rFont val="Tahoma"/>
            <family val="2"/>
          </rPr>
          <t>UoA:</t>
        </r>
        <r>
          <rPr>
            <sz val="9"/>
            <color indexed="81"/>
            <rFont val="Tahoma"/>
            <family val="2"/>
          </rPr>
          <t xml:space="preserve">
You can input the total annual water consumption along with an explanation of the calculation.</t>
        </r>
      </text>
    </comment>
    <comment ref="L8" authorId="0" shapeId="0" xr:uid="{76EECC9E-83C9-4F45-9AE5-35CFBFCAC5D2}">
      <text>
        <r>
          <rPr>
            <b/>
            <sz val="9"/>
            <color indexed="81"/>
            <rFont val="Tahoma"/>
            <family val="2"/>
          </rPr>
          <t>UoA:</t>
        </r>
        <r>
          <rPr>
            <sz val="9"/>
            <color indexed="81"/>
            <rFont val="Tahoma"/>
            <family val="2"/>
          </rPr>
          <t xml:space="preserve">
You can input the total annual water consumption along with an explanation of the calculation.</t>
        </r>
      </text>
    </comment>
    <comment ref="H9" authorId="0" shapeId="0" xr:uid="{E90EECF4-BA51-457F-B7F2-4EC364B42A80}">
      <text>
        <r>
          <rPr>
            <b/>
            <sz val="9"/>
            <color indexed="81"/>
            <rFont val="Tahoma"/>
            <family val="2"/>
          </rPr>
          <t>UoA:</t>
        </r>
        <r>
          <rPr>
            <sz val="9"/>
            <color indexed="81"/>
            <rFont val="Tahoma"/>
            <family val="2"/>
          </rPr>
          <t xml:space="preserve">
You can input the total annual water consumption along with an explanation of the calculation.</t>
        </r>
      </text>
    </comment>
    <comment ref="L9" authorId="0" shapeId="0" xr:uid="{39D807D9-5A63-4093-8754-7768B77F2278}">
      <text>
        <r>
          <rPr>
            <b/>
            <sz val="9"/>
            <color indexed="81"/>
            <rFont val="Tahoma"/>
            <family val="2"/>
          </rPr>
          <t>UoA:</t>
        </r>
        <r>
          <rPr>
            <sz val="9"/>
            <color indexed="81"/>
            <rFont val="Tahoma"/>
            <family val="2"/>
          </rPr>
          <t xml:space="preserve">
You can input the total annual water consumption along with an explanation of the calculation.</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845FC09-7EAF-404C-A3C9-15BB6A422FEE}" keepAlive="1" name="Query - Table1" description="Connection to the 'Table1' query in the workbook." type="5" refreshedVersion="0" background="1">
    <dbPr connection="Provider=Microsoft.Mashup.OleDb.1;Data Source=$Workbook$;Location=Table1;Extended Properties=&quot;&quot;" command="SELECT * FROM [Table1]"/>
  </connection>
</connections>
</file>

<file path=xl/sharedStrings.xml><?xml version="1.0" encoding="utf-8"?>
<sst xmlns="http://schemas.openxmlformats.org/spreadsheetml/2006/main" count="572" uniqueCount="253">
  <si>
    <t>Project Name</t>
  </si>
  <si>
    <t>Manual</t>
  </si>
  <si>
    <t>Colour codes</t>
  </si>
  <si>
    <t>Date</t>
  </si>
  <si>
    <t>PR1 : Lighting</t>
  </si>
  <si>
    <t>Building Name</t>
  </si>
  <si>
    <t>Location</t>
  </si>
  <si>
    <t>Instructions</t>
  </si>
  <si>
    <t xml:space="preserve">PR2: Space Heating, Cooling and Ventilation </t>
  </si>
  <si>
    <t>PR3: Process Heating and Cooling</t>
  </si>
  <si>
    <t>PR4: Building Envelope (BE)</t>
  </si>
  <si>
    <t>PR5: Electrical (Equipment and Appliances)</t>
  </si>
  <si>
    <t>Abbreviations</t>
  </si>
  <si>
    <t>PR7: Water</t>
  </si>
  <si>
    <t>PR6:  On-site Renewable and Alternative Energy Initiatives</t>
  </si>
  <si>
    <t>Sustainability Metrics - Overview</t>
  </si>
  <si>
    <t>The user needs to fill these parameters</t>
  </si>
  <si>
    <t>Please choose the relevant item from the dropdown menu</t>
  </si>
  <si>
    <t>Control</t>
  </si>
  <si>
    <t>Schulz</t>
  </si>
  <si>
    <t>L12</t>
  </si>
  <si>
    <t xml:space="preserve">2xT8 </t>
  </si>
  <si>
    <t>LED panel</t>
  </si>
  <si>
    <t>L10</t>
  </si>
  <si>
    <t>Halogen Downlights</t>
  </si>
  <si>
    <t>LED downlights</t>
  </si>
  <si>
    <t>Occupancy</t>
  </si>
  <si>
    <t>External</t>
  </si>
  <si>
    <t>N/A</t>
  </si>
  <si>
    <t>Security LED</t>
  </si>
  <si>
    <t>PE cell plus timer</t>
  </si>
  <si>
    <t>Lighting Description</t>
  </si>
  <si>
    <t>Pre - Project</t>
  </si>
  <si>
    <t>Post - Project</t>
  </si>
  <si>
    <r>
      <t>Energy Density 
W/m</t>
    </r>
    <r>
      <rPr>
        <b/>
        <vertAlign val="superscript"/>
        <sz val="11"/>
        <color theme="1"/>
        <rFont val="Calibri"/>
        <family val="2"/>
        <scheme val="minor"/>
      </rPr>
      <t>2</t>
    </r>
  </si>
  <si>
    <t>PR1.1</t>
  </si>
  <si>
    <t>PR1.2</t>
  </si>
  <si>
    <t>PR1.3</t>
  </si>
  <si>
    <t>Difference (Pre and Post Project)</t>
  </si>
  <si>
    <t>Security halogen lamps</t>
  </si>
  <si>
    <t>Timer</t>
  </si>
  <si>
    <t>Annual Energy Consumption kWh/yr</t>
  </si>
  <si>
    <t>CBUS plus Occupancy</t>
  </si>
  <si>
    <t>Type of Activity</t>
  </si>
  <si>
    <t>Office</t>
  </si>
  <si>
    <t>Dry Laboratory</t>
  </si>
  <si>
    <t>Wet Laboratory</t>
  </si>
  <si>
    <t>Meeting Room</t>
  </si>
  <si>
    <t>Computer Suite</t>
  </si>
  <si>
    <t>General Teaching</t>
  </si>
  <si>
    <t>Lecture Theatre</t>
  </si>
  <si>
    <t>Cold Room</t>
  </si>
  <si>
    <t>Total</t>
  </si>
  <si>
    <t>PR2.1</t>
  </si>
  <si>
    <t>Whole building</t>
  </si>
  <si>
    <t>Project/Lighting Description</t>
  </si>
  <si>
    <t>Project/description</t>
  </si>
  <si>
    <t>Current chiller upgrade to high efficient chiller</t>
  </si>
  <si>
    <t>Annual Electricity Consumption kWh/yr</t>
  </si>
  <si>
    <t>New Chiller</t>
  </si>
  <si>
    <t>PR3.1</t>
  </si>
  <si>
    <t>Initiative ID</t>
  </si>
  <si>
    <t>Project/Description</t>
  </si>
  <si>
    <t>PR5.1</t>
  </si>
  <si>
    <t xml:space="preserve">Equipment Size 
Watts </t>
  </si>
  <si>
    <t>Total Project Cost
$
Refer Note 1</t>
  </si>
  <si>
    <t>Number of devices</t>
  </si>
  <si>
    <t>Total Project Cost 
$
Refer Note 1</t>
  </si>
  <si>
    <t>PR7.1</t>
  </si>
  <si>
    <t>Type of Activity Space</t>
  </si>
  <si>
    <t>Efficient Basin taps</t>
  </si>
  <si>
    <t>Type of Activity Space serviced by facility</t>
  </si>
  <si>
    <t>Annual Cost Saving expected
 $</t>
  </si>
  <si>
    <t>Difference Pre and Post Project</t>
  </si>
  <si>
    <t>Annual Electricity Consumption
 kWh</t>
  </si>
  <si>
    <t>Annual Gas Consumption
MJ</t>
  </si>
  <si>
    <t>Annual Cost Saving expected $</t>
  </si>
  <si>
    <t>Example (Project details)</t>
  </si>
  <si>
    <t>Introduction</t>
  </si>
  <si>
    <t>Project Details</t>
  </si>
  <si>
    <t>Section xxxx</t>
  </si>
  <si>
    <t>Annual Demand Saving expected 
kVA</t>
  </si>
  <si>
    <t>Estimated water Cost
$/kL</t>
  </si>
  <si>
    <t>PR6.1</t>
  </si>
  <si>
    <t>Northern Roof</t>
  </si>
  <si>
    <t>Main Topics</t>
  </si>
  <si>
    <t>Project Number</t>
  </si>
  <si>
    <t>Brief project description</t>
  </si>
  <si>
    <t>Campus Name</t>
  </si>
  <si>
    <t xml:space="preserve">https://www.dcceew.gov.au/climate-change/publications/national-greenhouse-accounts-factors </t>
  </si>
  <si>
    <t>Refrigerant Type &amp; Volume</t>
  </si>
  <si>
    <t>R22, 200L</t>
  </si>
  <si>
    <t>Refrigerant Global Warming Potential</t>
  </si>
  <si>
    <t>R1234ze, 250L</t>
  </si>
  <si>
    <t>Source of Water</t>
  </si>
  <si>
    <t>Mains</t>
  </si>
  <si>
    <t>UoA Proposed cost for calculations</t>
  </si>
  <si>
    <t>Baseline Calendar Year 
(for Pre-Project Calculations)</t>
  </si>
  <si>
    <t>ROI: Return of Investment</t>
  </si>
  <si>
    <t>Aggregated Summary</t>
  </si>
  <si>
    <t>Simple Payback  
Yrs 
(if applicable)</t>
  </si>
  <si>
    <t>ROI 
(if applicable)</t>
  </si>
  <si>
    <t>Refer below document for calculating  Scope 1, 2 and 3 emissions based on the latest available emission factors provided by the Australian Government (National Greenhouse Accounts Factors)</t>
  </si>
  <si>
    <t>Type of water</t>
  </si>
  <si>
    <t>Rooftop Solar Photovoltaics</t>
  </si>
  <si>
    <t>Biofuels for space or process heating</t>
  </si>
  <si>
    <t>Geothermal (active/enhanced)</t>
  </si>
  <si>
    <t>Combined Heat &amp; Power/Cogeneration</t>
  </si>
  <si>
    <t>Green hydrogen electrolysers/fuel cell</t>
  </si>
  <si>
    <t>Other renewable/alternative energy</t>
  </si>
  <si>
    <t>Renewables</t>
  </si>
  <si>
    <t>Simple Payback
Yrs (if applicable)</t>
  </si>
  <si>
    <t>None</t>
  </si>
  <si>
    <t>PR5: Electrical (Equipment and Appliances) - Hardwired</t>
  </si>
  <si>
    <t>Table 3: Indirect (scope 2) emission factors for electricity grids</t>
  </si>
  <si>
    <t>Off-grid</t>
  </si>
  <si>
    <t>Table 1: Indirect (Scope 2 and Scope 3) emissions from consumption of purchased electricity from a grid</t>
  </si>
  <si>
    <t>Table 5 and Table 6: Indirect (Scope 3) emission factors for the consumption of natural gas</t>
  </si>
  <si>
    <t>Annual Days of Operation
Days/yr</t>
  </si>
  <si>
    <t>Area
m2</t>
  </si>
  <si>
    <r>
      <t>Scope 2 emissions
kg CO</t>
    </r>
    <r>
      <rPr>
        <b/>
        <vertAlign val="subscript"/>
        <sz val="10"/>
        <color rgb="FF1F1F1F"/>
        <rFont val="Arial"/>
        <family val="2"/>
      </rPr>
      <t>2</t>
    </r>
    <r>
      <rPr>
        <b/>
        <sz val="10"/>
        <color rgb="FF1F1F1F"/>
        <rFont val="Arial"/>
        <family val="2"/>
      </rPr>
      <t>e</t>
    </r>
  </si>
  <si>
    <r>
      <t>Scope 3 emissions
kg CO</t>
    </r>
    <r>
      <rPr>
        <b/>
        <vertAlign val="subscript"/>
        <sz val="10"/>
        <color rgb="FF1F1F1F"/>
        <rFont val="Arial"/>
        <family val="2"/>
      </rPr>
      <t>2</t>
    </r>
    <r>
      <rPr>
        <b/>
        <sz val="10"/>
        <color rgb="FF1F1F1F"/>
        <rFont val="Arial"/>
        <family val="2"/>
      </rPr>
      <t>e</t>
    </r>
  </si>
  <si>
    <t>Hand Dryer</t>
  </si>
  <si>
    <r>
      <t>Scope 2
emissions from Electricity
kg CO</t>
    </r>
    <r>
      <rPr>
        <b/>
        <vertAlign val="subscript"/>
        <sz val="10"/>
        <color rgb="FF1F1F1F"/>
        <rFont val="Arial"/>
        <family val="2"/>
      </rPr>
      <t>2</t>
    </r>
    <r>
      <rPr>
        <b/>
        <sz val="10"/>
        <color rgb="FF1F1F1F"/>
        <rFont val="Arial"/>
        <family val="2"/>
      </rPr>
      <t>e</t>
    </r>
  </si>
  <si>
    <r>
      <t>Scope 3
emissions from Electricity
kg CO</t>
    </r>
    <r>
      <rPr>
        <b/>
        <vertAlign val="subscript"/>
        <sz val="10"/>
        <color rgb="FF1F1F1F"/>
        <rFont val="Arial"/>
        <family val="2"/>
      </rPr>
      <t>2</t>
    </r>
    <r>
      <rPr>
        <b/>
        <sz val="10"/>
        <color rgb="FF1F1F1F"/>
        <rFont val="Arial"/>
        <family val="2"/>
      </rPr>
      <t>e</t>
    </r>
  </si>
  <si>
    <r>
      <t>Scope 1
emissions from Gas
kgCO</t>
    </r>
    <r>
      <rPr>
        <b/>
        <vertAlign val="subscript"/>
        <sz val="10"/>
        <color rgb="FF1F1F1F"/>
        <rFont val="Arial"/>
        <family val="2"/>
      </rPr>
      <t>2</t>
    </r>
    <r>
      <rPr>
        <b/>
        <sz val="10"/>
        <color rgb="FF1F1F1F"/>
        <rFont val="Arial"/>
        <family val="2"/>
      </rPr>
      <t>e</t>
    </r>
  </si>
  <si>
    <r>
      <t>Scope 3
emissions from Gas
kgCO</t>
    </r>
    <r>
      <rPr>
        <b/>
        <vertAlign val="subscript"/>
        <sz val="10"/>
        <color rgb="FF1F1F1F"/>
        <rFont val="Arial"/>
        <family val="2"/>
      </rPr>
      <t>2</t>
    </r>
    <r>
      <rPr>
        <b/>
        <sz val="10"/>
        <color rgb="FF1F1F1F"/>
        <rFont val="Arial"/>
        <family val="2"/>
      </rPr>
      <t>e</t>
    </r>
  </si>
  <si>
    <t>Serviced section</t>
  </si>
  <si>
    <r>
      <t>Serviced area - m</t>
    </r>
    <r>
      <rPr>
        <b/>
        <vertAlign val="superscript"/>
        <sz val="11"/>
        <color theme="1"/>
        <rFont val="Calibri"/>
        <family val="2"/>
        <scheme val="minor"/>
      </rPr>
      <t>2</t>
    </r>
  </si>
  <si>
    <t>Annual Electrcity Saving expected 
kWh</t>
  </si>
  <si>
    <t>Annual Electrcity Consumption kWh/yr</t>
  </si>
  <si>
    <t>Annual Gas Consumption MJ/yr</t>
  </si>
  <si>
    <t>Estimated Electricity Cost 
$/kWh</t>
  </si>
  <si>
    <t>Estimated Electricity Demand Cost 
$/kVA</t>
  </si>
  <si>
    <t>Electricity load/Demand 
kVA</t>
  </si>
  <si>
    <r>
      <t>Scope 1 emissions
kg CO</t>
    </r>
    <r>
      <rPr>
        <b/>
        <vertAlign val="subscript"/>
        <sz val="10"/>
        <color rgb="FF1F1F1F"/>
        <rFont val="Arial"/>
        <family val="2"/>
      </rPr>
      <t>2</t>
    </r>
    <r>
      <rPr>
        <b/>
        <sz val="10"/>
        <color rgb="FF1F1F1F"/>
        <rFont val="Arial"/>
        <family val="2"/>
      </rPr>
      <t>e</t>
    </r>
  </si>
  <si>
    <t>`</t>
  </si>
  <si>
    <r>
      <t>Scope 3
emissions from Electricity
 kg CO</t>
    </r>
    <r>
      <rPr>
        <b/>
        <vertAlign val="subscript"/>
        <sz val="10"/>
        <color rgb="FF1F1F1F"/>
        <rFont val="Arial"/>
        <family val="2"/>
      </rPr>
      <t>2</t>
    </r>
    <r>
      <rPr>
        <b/>
        <sz val="10"/>
        <color rgb="FF1F1F1F"/>
        <rFont val="Arial"/>
        <family val="2"/>
      </rPr>
      <t>e</t>
    </r>
  </si>
  <si>
    <r>
      <t>Scope 1
emissions from Gas
kg CO</t>
    </r>
    <r>
      <rPr>
        <b/>
        <vertAlign val="subscript"/>
        <sz val="10"/>
        <color rgb="FF1F1F1F"/>
        <rFont val="Arial"/>
        <family val="2"/>
      </rPr>
      <t>2</t>
    </r>
    <r>
      <rPr>
        <b/>
        <sz val="10"/>
        <color rgb="FF1F1F1F"/>
        <rFont val="Arial"/>
        <family val="2"/>
      </rPr>
      <t>e</t>
    </r>
  </si>
  <si>
    <r>
      <t>Scope 3
emissions from Gas
kg CO</t>
    </r>
    <r>
      <rPr>
        <b/>
        <vertAlign val="subscript"/>
        <sz val="10"/>
        <color rgb="FF1F1F1F"/>
        <rFont val="Arial"/>
        <family val="2"/>
      </rPr>
      <t>2</t>
    </r>
    <r>
      <rPr>
        <b/>
        <sz val="10"/>
        <color rgb="FF1F1F1F"/>
        <rFont val="Arial"/>
        <family val="2"/>
      </rPr>
      <t>e</t>
    </r>
  </si>
  <si>
    <r>
      <t>Serviced Area
m</t>
    </r>
    <r>
      <rPr>
        <b/>
        <vertAlign val="superscript"/>
        <sz val="11"/>
        <color theme="1"/>
        <rFont val="Calibri"/>
        <family val="2"/>
        <scheme val="minor"/>
      </rPr>
      <t>2</t>
    </r>
  </si>
  <si>
    <t>Usage time per use
seconds</t>
  </si>
  <si>
    <t>High efficiency hand dryer</t>
  </si>
  <si>
    <r>
      <t>Scope 2 emissions from Electricity
kg CO</t>
    </r>
    <r>
      <rPr>
        <b/>
        <vertAlign val="subscript"/>
        <sz val="10"/>
        <color rgb="FF1F1F1F"/>
        <rFont val="Arial"/>
        <family val="2"/>
      </rPr>
      <t>2</t>
    </r>
    <r>
      <rPr>
        <b/>
        <sz val="10"/>
        <color rgb="FF1F1F1F"/>
        <rFont val="Arial"/>
        <family val="2"/>
      </rPr>
      <t>e</t>
    </r>
  </si>
  <si>
    <r>
      <t>Scope 3 emissions from Electricity
kg CO</t>
    </r>
    <r>
      <rPr>
        <b/>
        <vertAlign val="subscript"/>
        <sz val="10"/>
        <color rgb="FF1F1F1F"/>
        <rFont val="Arial"/>
        <family val="2"/>
      </rPr>
      <t>2</t>
    </r>
    <r>
      <rPr>
        <b/>
        <sz val="10"/>
        <color rgb="FF1F1F1F"/>
        <rFont val="Arial"/>
        <family val="2"/>
      </rPr>
      <t>e</t>
    </r>
  </si>
  <si>
    <t>Total Electricity load/Demand 
kVA</t>
  </si>
  <si>
    <t>Annual Water Usage
kL/yr</t>
  </si>
  <si>
    <r>
      <t>Area serviced
m</t>
    </r>
    <r>
      <rPr>
        <b/>
        <vertAlign val="superscript"/>
        <sz val="11"/>
        <color theme="1"/>
        <rFont val="Calibri"/>
        <family val="2"/>
        <scheme val="minor"/>
      </rPr>
      <t>2</t>
    </r>
  </si>
  <si>
    <r>
      <t>Scope 3
emissions related to Water
kgCO</t>
    </r>
    <r>
      <rPr>
        <b/>
        <vertAlign val="subscript"/>
        <sz val="10"/>
        <color rgb="FF1F1F1F"/>
        <rFont val="Arial"/>
        <family val="2"/>
      </rPr>
      <t>2</t>
    </r>
    <r>
      <rPr>
        <b/>
        <sz val="10"/>
        <color rgb="FF1F1F1F"/>
        <rFont val="Arial"/>
        <family val="2"/>
      </rPr>
      <t>e</t>
    </r>
  </si>
  <si>
    <r>
      <t>Scope 3
emissions related to Water
kg CO</t>
    </r>
    <r>
      <rPr>
        <b/>
        <vertAlign val="subscript"/>
        <sz val="10"/>
        <color rgb="FF1F1F1F"/>
        <rFont val="Arial"/>
        <family val="2"/>
      </rPr>
      <t>2</t>
    </r>
    <r>
      <rPr>
        <b/>
        <sz val="10"/>
        <color rgb="FF1F1F1F"/>
        <rFont val="Arial"/>
        <family val="2"/>
      </rPr>
      <t>e</t>
    </r>
  </si>
  <si>
    <t>Annual water Saving expected 
kL/yr</t>
  </si>
  <si>
    <t>Estimated Gas Cost 
$/GJ</t>
  </si>
  <si>
    <t>Estimated LPG Cost
$/litres</t>
  </si>
  <si>
    <t>Liquefied petroleum gas (LPG) related Emissions</t>
  </si>
  <si>
    <t>Water related Emissions</t>
  </si>
  <si>
    <t>Note: Sourced from the NABERS Carbon Neutral platform (specific to South Australia)</t>
  </si>
  <si>
    <r>
      <t>Scope 1 Emission Factor
(kg CO</t>
    </r>
    <r>
      <rPr>
        <i/>
        <vertAlign val="subscript"/>
        <sz val="11"/>
        <color rgb="FF083A42"/>
        <rFont val="Calibri"/>
        <family val="2"/>
        <scheme val="minor"/>
      </rPr>
      <t>2</t>
    </r>
    <r>
      <rPr>
        <i/>
        <sz val="11"/>
        <color rgb="FF083A42"/>
        <rFont val="Calibri"/>
        <family val="2"/>
        <scheme val="minor"/>
      </rPr>
      <t>‑e/GJ) - Refer Table 5</t>
    </r>
  </si>
  <si>
    <r>
      <t>Scope 3 Emission Factors for Natural Gas (kg CO</t>
    </r>
    <r>
      <rPr>
        <i/>
        <vertAlign val="subscript"/>
        <sz val="11"/>
        <color rgb="FF083A42"/>
        <rFont val="Calibri"/>
        <family val="2"/>
        <scheme val="minor"/>
      </rPr>
      <t>2</t>
    </r>
    <r>
      <rPr>
        <i/>
        <sz val="11"/>
        <color rgb="FF083A42"/>
        <rFont val="Calibri"/>
        <family val="2"/>
        <scheme val="minor"/>
      </rPr>
      <t>-e/GJ) - Refer Table 6</t>
    </r>
  </si>
  <si>
    <r>
      <t>Scope 2 Emission Factors
(kg CO</t>
    </r>
    <r>
      <rPr>
        <i/>
        <vertAlign val="subscript"/>
        <sz val="11"/>
        <color rgb="FF083A42"/>
        <rFont val="Calibri"/>
        <family val="2"/>
        <scheme val="minor"/>
      </rPr>
      <t>2</t>
    </r>
    <r>
      <rPr>
        <i/>
        <sz val="11"/>
        <color rgb="FF083A42"/>
        <rFont val="Calibri"/>
        <family val="2"/>
        <scheme val="minor"/>
      </rPr>
      <t>-e/kWh)</t>
    </r>
  </si>
  <si>
    <r>
      <t>Scope 3 Emission Factors
(kg CO</t>
    </r>
    <r>
      <rPr>
        <i/>
        <vertAlign val="subscript"/>
        <sz val="11"/>
        <color rgb="FF083A42"/>
        <rFont val="Calibri"/>
        <family val="2"/>
        <scheme val="minor"/>
      </rPr>
      <t>2</t>
    </r>
    <r>
      <rPr>
        <i/>
        <sz val="11"/>
        <color rgb="FF083A42"/>
        <rFont val="Calibri"/>
        <family val="2"/>
        <scheme val="minor"/>
      </rPr>
      <t>-e/kWh)</t>
    </r>
  </si>
  <si>
    <r>
      <t>Scope 3 Emission Factors
(kg CO</t>
    </r>
    <r>
      <rPr>
        <i/>
        <vertAlign val="subscript"/>
        <sz val="11"/>
        <color rgb="FF083A42"/>
        <rFont val="Calibri"/>
        <family val="2"/>
        <scheme val="minor"/>
      </rPr>
      <t>2</t>
    </r>
    <r>
      <rPr>
        <i/>
        <sz val="11"/>
        <color rgb="FF083A42"/>
        <rFont val="Calibri"/>
        <family val="2"/>
        <scheme val="minor"/>
      </rPr>
      <t>-e/kL)</t>
    </r>
  </si>
  <si>
    <r>
      <t>Scope 1 Emission Factor
(kg CO</t>
    </r>
    <r>
      <rPr>
        <i/>
        <vertAlign val="subscript"/>
        <sz val="11"/>
        <color rgb="FF083A42"/>
        <rFont val="Calibri"/>
        <family val="2"/>
        <scheme val="minor"/>
      </rPr>
      <t>2</t>
    </r>
    <r>
      <rPr>
        <i/>
        <sz val="11"/>
        <color rgb="FF083A42"/>
        <rFont val="Calibri"/>
        <family val="2"/>
        <scheme val="minor"/>
      </rPr>
      <t>‑e/GJ) - Refer Table Energy scope 1</t>
    </r>
  </si>
  <si>
    <t>Below are the typical emission factors for FY 2024-25 used by UoA, Please nominate alternative emssion factor if relevant.</t>
  </si>
  <si>
    <t>PR2.2</t>
  </si>
  <si>
    <t>Cooling Tower</t>
  </si>
  <si>
    <t>Shower head</t>
  </si>
  <si>
    <t>PR7.2</t>
  </si>
  <si>
    <t>Efficient cooling tower</t>
  </si>
  <si>
    <t>Note 1: Please provide the estimated costs associated with the initiative (including hardware and labour).</t>
  </si>
  <si>
    <t>PR5.2</t>
  </si>
  <si>
    <t>Fume Cupboards</t>
  </si>
  <si>
    <t>Average number of users/day
or Number of hours per day</t>
  </si>
  <si>
    <t>When using your own calculations, please provide details of the calculations.</t>
  </si>
  <si>
    <t>Please copy the relevent fomulas from the provided example to add more projects.</t>
  </si>
  <si>
    <t>PR3.2</t>
  </si>
  <si>
    <t>Roof insulation (Current)</t>
  </si>
  <si>
    <t>Annual Gas Saving expected 
GJ</t>
  </si>
  <si>
    <t xml:space="preserve">PR2: Process Heating, Cooling and Ventilation </t>
  </si>
  <si>
    <t xml:space="preserve">You can develop your own calculations,  main purpose is to capture the Pre-Project and Post-Project data according to the specified topics on the spreadsheet. </t>
  </si>
  <si>
    <t>PR1: Lighting</t>
  </si>
  <si>
    <t>Estimated annual operating hours (hrs/year)</t>
  </si>
  <si>
    <t>Estimated annual electrcity consumption kWh/yr</t>
  </si>
  <si>
    <t>Estimated Annual Gas Consumption MJ/yr</t>
  </si>
  <si>
    <t>Central Plant (as a system)</t>
  </si>
  <si>
    <t>Multiple modifications &amp; BMS tune-up</t>
  </si>
  <si>
    <t>Estimated Annual Water Usage
kL/yr</t>
  </si>
  <si>
    <t>Glass windows (Western Façade)</t>
  </si>
  <si>
    <t>Improved roof insulation</t>
  </si>
  <si>
    <t>High performance glass &amp; tint (Western Façade)</t>
  </si>
  <si>
    <t>Common Areas</t>
  </si>
  <si>
    <t>Estimated annual electricity generation/ consumption
(kWh per year)</t>
  </si>
  <si>
    <r>
      <t>Scope 2
emissions from Electricity avoided
kg CO</t>
    </r>
    <r>
      <rPr>
        <b/>
        <vertAlign val="subscript"/>
        <sz val="10"/>
        <color rgb="FF1F1F1F"/>
        <rFont val="Arial"/>
        <family val="2"/>
      </rPr>
      <t>2</t>
    </r>
    <r>
      <rPr>
        <b/>
        <sz val="10"/>
        <color rgb="FF1F1F1F"/>
        <rFont val="Arial"/>
        <family val="2"/>
      </rPr>
      <t>e</t>
    </r>
  </si>
  <si>
    <r>
      <t>Scope 3
emissions from Electricity avoided
kg CO</t>
    </r>
    <r>
      <rPr>
        <b/>
        <vertAlign val="subscript"/>
        <sz val="10"/>
        <color rgb="FF1F1F1F"/>
        <rFont val="Arial"/>
        <family val="2"/>
      </rPr>
      <t>2</t>
    </r>
    <r>
      <rPr>
        <b/>
        <sz val="10"/>
        <color rgb="FF1F1F1F"/>
        <rFont val="Arial"/>
        <family val="2"/>
      </rPr>
      <t>e</t>
    </r>
  </si>
  <si>
    <t>Estimated annual Gas energy 
(MJ per year)</t>
  </si>
  <si>
    <t>PR6.2</t>
  </si>
  <si>
    <t>PR6: On-site Renewable and Alternative Energy Initiatives</t>
  </si>
  <si>
    <t>Estimated peak electricity load/ Peak Demand 
(kVA)</t>
  </si>
  <si>
    <t>Total estimated Cost Saving per year ($ / year)</t>
  </si>
  <si>
    <t>Estimated  electricity saving per year
(kWh / year)</t>
  </si>
  <si>
    <t>Estimated Peak Demand Saving 
(kVA)</t>
  </si>
  <si>
    <r>
      <t>Scope 2 emissions
kg CO</t>
    </r>
    <r>
      <rPr>
        <b/>
        <vertAlign val="subscript"/>
        <sz val="10"/>
        <color rgb="FF1F1F1F"/>
        <rFont val="Arial"/>
        <family val="2"/>
      </rPr>
      <t>2</t>
    </r>
    <r>
      <rPr>
        <b/>
        <sz val="10"/>
        <color rgb="FF1F1F1F"/>
        <rFont val="Arial"/>
        <family val="2"/>
      </rPr>
      <t>e / year</t>
    </r>
  </si>
  <si>
    <r>
      <t>Scope 3 emissions
kg CO</t>
    </r>
    <r>
      <rPr>
        <b/>
        <vertAlign val="subscript"/>
        <sz val="10"/>
        <color rgb="FF1F1F1F"/>
        <rFont val="Arial"/>
        <family val="2"/>
      </rPr>
      <t>2</t>
    </r>
    <r>
      <rPr>
        <b/>
        <sz val="10"/>
        <color rgb="FF1F1F1F"/>
        <rFont val="Arial"/>
        <family val="2"/>
      </rPr>
      <t>e / year</t>
    </r>
  </si>
  <si>
    <r>
      <t>Estimated Energy Density 
W/m</t>
    </r>
    <r>
      <rPr>
        <b/>
        <vertAlign val="superscript"/>
        <sz val="11"/>
        <color theme="1"/>
        <rFont val="Calibri"/>
        <family val="2"/>
        <scheme val="minor"/>
      </rPr>
      <t>2</t>
    </r>
  </si>
  <si>
    <t>Estimated Daily Usage
Hours</t>
  </si>
  <si>
    <t>Estimated Annual Electrcity Saving 
(kWh / year)</t>
  </si>
  <si>
    <t>Estimated Annual Gas Saving
(GJ / year)</t>
  </si>
  <si>
    <t>Estimated Peak Demand Reduction 
(kVA)</t>
  </si>
  <si>
    <t>Estimated Annual Cost Saving  ($ / year)</t>
  </si>
  <si>
    <r>
      <t>Scope 1 emissions
kg CO</t>
    </r>
    <r>
      <rPr>
        <b/>
        <vertAlign val="subscript"/>
        <sz val="10"/>
        <color rgb="FF1F1F1F"/>
        <rFont val="Arial"/>
        <family val="2"/>
      </rPr>
      <t>2</t>
    </r>
    <r>
      <rPr>
        <b/>
        <sz val="10"/>
        <color rgb="FF1F1F1F"/>
        <rFont val="Arial"/>
        <family val="2"/>
      </rPr>
      <t>e / year</t>
    </r>
  </si>
  <si>
    <t>Total Estimated Peak Demand  
kVA</t>
  </si>
  <si>
    <t>High Efficiency Fume Cupboard</t>
  </si>
  <si>
    <t>Esimated Annual Energy Saving
(kWh / year)</t>
  </si>
  <si>
    <t>System capacity (kW)</t>
  </si>
  <si>
    <t>Estimated annual electricity generation
(kWh per year)</t>
  </si>
  <si>
    <t>Estimated Annual Electricity Saving  
(kWh/year)</t>
  </si>
  <si>
    <t>Estimated Annual Gas Saving 
(MJ / year)</t>
  </si>
  <si>
    <t>Estimated Annual Cost Saving ($/year)</t>
  </si>
  <si>
    <t>Natural Gas</t>
  </si>
  <si>
    <t>Whole Building</t>
  </si>
  <si>
    <t>Green Gas (e.g. 10% Hydrogen blended)</t>
  </si>
  <si>
    <t>Rainwater Collection</t>
  </si>
  <si>
    <t>Grey Water</t>
  </si>
  <si>
    <t xml:space="preserve">Mains potable water </t>
  </si>
  <si>
    <t>Mains recycled water</t>
  </si>
  <si>
    <t>Other</t>
  </si>
  <si>
    <t>Estimated baseline  thermal load
(kWh per year)</t>
  </si>
  <si>
    <t xml:space="preserve">Estimated improvement to Thermal load 
(kWh per year)
</t>
  </si>
  <si>
    <t>Estimated Annual Electricity Savings
(kWh/year)</t>
  </si>
  <si>
    <t>Estimated Annual Gas Savings 
(MJ / year)</t>
  </si>
  <si>
    <t>Estimated Peak Demand Savings (kVA)</t>
  </si>
  <si>
    <t>Estimated Annual Cost Saving
($ / year)</t>
  </si>
  <si>
    <t>Residential</t>
  </si>
  <si>
    <t>PR5.3</t>
  </si>
  <si>
    <t>Custance Area</t>
  </si>
  <si>
    <t>Birks (RW011)</t>
  </si>
  <si>
    <t>Instantaneous Gas Hot Water System</t>
  </si>
  <si>
    <r>
      <t>Scope 2 
emissions from Electricity
kg CO</t>
    </r>
    <r>
      <rPr>
        <b/>
        <vertAlign val="subscript"/>
        <sz val="10"/>
        <color rgb="FF1F1F1F"/>
        <rFont val="Arial"/>
        <family val="2"/>
      </rPr>
      <t>2</t>
    </r>
    <r>
      <rPr>
        <b/>
        <sz val="10"/>
        <color rgb="FF1F1F1F"/>
        <rFont val="Arial"/>
        <family val="2"/>
      </rPr>
      <t>e</t>
    </r>
  </si>
  <si>
    <t>Heat Pump Electric Hot Water System</t>
  </si>
  <si>
    <t>Scope 1
emissions from LPG
kg CO2e</t>
  </si>
  <si>
    <r>
      <t>Scope 1 emissions from LPG
kg CO</t>
    </r>
    <r>
      <rPr>
        <b/>
        <vertAlign val="subscript"/>
        <sz val="10"/>
        <color rgb="FF1F1F1F"/>
        <rFont val="Arial"/>
        <family val="2"/>
      </rPr>
      <t>2</t>
    </r>
    <r>
      <rPr>
        <b/>
        <sz val="10"/>
        <color rgb="FF1F1F1F"/>
        <rFont val="Arial"/>
        <family val="2"/>
      </rPr>
      <t>e</t>
    </r>
  </si>
  <si>
    <t>Annual LPG energy Consumption 
(L/yr)</t>
  </si>
  <si>
    <t>Annual LPG energy Consumption  
(GJ/yr)</t>
  </si>
  <si>
    <t>Simple Payback
Yrs 
(if applicable)</t>
  </si>
  <si>
    <t>mn n</t>
  </si>
  <si>
    <t>Wattage per Fitting including control gear</t>
  </si>
  <si>
    <t>Annual LPG Saving expected 
GJ</t>
  </si>
  <si>
    <t>Estimated peak electricity load/ Peak Demand 
(VA)</t>
  </si>
  <si>
    <t>Diversity factor (when different control methods are used)</t>
  </si>
  <si>
    <t>Number of fittings</t>
  </si>
  <si>
    <t>Version 1.0</t>
  </si>
  <si>
    <t>Documents Submission Stage</t>
  </si>
  <si>
    <t>Upon the final design, Phase 8 (Post Construction), defined under “Design Objectives and Scope of Services”, the final data sheet should be provided, including all relevant post-project data. 
Data needed to be gathered during various Phases of the Project.</t>
  </si>
  <si>
    <t>The University’s Sustainability Strategy 2030 – Here for Good outlines the institution’s strategic plan to address the accelerating environmental, social, economic, and human-induced climate changes occurring globally.
Under the “Here for Good” commitment, the University is working towards Net Zero operational targets, with campus refurbishment and building upgrade projects playing a vital role in this initiative.
Going forward, every infrastructure Capital Project must include separately estimated improvements to various relevant sustainability metrics such as energy &amp; associated cost savings, electricity network demand savings, carbon emission abatement, water efficiency improvement, reduced waste to landfill etc.
New reporting templates are now specified in the University’s updated Building Design Guidelines, under the new section “Design Standard Volume O – Sustainability Reporting Metrics.” 
Each tab represents specific topic.
These spreadsheets must be provided by the consultant at Post Construction, however the metrics data needs to be collected during the various phases of the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</si>
</sst>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7" formatCode="&quot;$&quot;#,##0.00;\-&quot;$&quot;#,##0.00"/>
    <numFmt numFmtId="43" formatCode="_-* #,##0.00_-;\-* #,##0.00_-;_-* &quot;-&quot;??_-;_-@_-"/>
    <numFmt numFmtId="164" formatCode="&quot;$&quot;#,##0"/>
    <numFmt numFmtId="165" formatCode="&quot;$&quot;#,##0.00"/>
    <numFmt numFmtId="166" formatCode="_-* #,##0_-;\-* #,##0_-;_-* &quot;-&quot;??_-;_-@_-"/>
    <numFmt numFmtId="167" formatCode="0.0"/>
    <numFmt numFmtId="168" formatCode="0.0000"/>
  </numFmts>
  <fonts count="30" x14ac:knownFonts="1">
    <font>
      <sz val="11"/>
      <color theme="1"/>
      <name val="Calibri"/>
      <family val="2"/>
      <scheme val="minor"/>
    </font>
    <font>
      <b/>
      <sz val="11"/>
      <color theme="1"/>
      <name val="Calibri"/>
      <family val="2"/>
      <scheme val="minor"/>
    </font>
    <font>
      <b/>
      <u/>
      <sz val="11"/>
      <color theme="1"/>
      <name val="Calibri"/>
      <family val="2"/>
      <scheme val="minor"/>
    </font>
    <font>
      <sz val="8"/>
      <name val="Calibri"/>
      <family val="2"/>
      <scheme val="minor"/>
    </font>
    <font>
      <b/>
      <sz val="14"/>
      <color theme="1"/>
      <name val="Calibri"/>
      <family val="2"/>
      <scheme val="minor"/>
    </font>
    <font>
      <sz val="11"/>
      <color rgb="FFFF0000"/>
      <name val="Calibri"/>
      <family val="2"/>
      <scheme val="minor"/>
    </font>
    <font>
      <b/>
      <sz val="18"/>
      <color theme="1"/>
      <name val="Calibri"/>
      <family val="2"/>
      <scheme val="minor"/>
    </font>
    <font>
      <sz val="9"/>
      <color indexed="81"/>
      <name val="Tahoma"/>
      <family val="2"/>
    </font>
    <font>
      <b/>
      <sz val="9"/>
      <color indexed="81"/>
      <name val="Tahoma"/>
      <family val="2"/>
    </font>
    <font>
      <b/>
      <sz val="10"/>
      <color rgb="FF1F1F1F"/>
      <name val="Arial"/>
      <family val="2"/>
    </font>
    <font>
      <b/>
      <vertAlign val="subscript"/>
      <sz val="10"/>
      <color rgb="FF1F1F1F"/>
      <name val="Arial"/>
      <family val="2"/>
    </font>
    <font>
      <b/>
      <vertAlign val="superscript"/>
      <sz val="11"/>
      <color theme="1"/>
      <name val="Calibri"/>
      <family val="2"/>
      <scheme val="minor"/>
    </font>
    <font>
      <sz val="11"/>
      <color theme="1"/>
      <name val="Calibri"/>
      <family val="2"/>
      <scheme val="minor"/>
    </font>
    <font>
      <b/>
      <sz val="12"/>
      <color theme="1"/>
      <name val="Calibri"/>
      <family val="2"/>
      <scheme val="minor"/>
    </font>
    <font>
      <sz val="11"/>
      <name val="Calibri"/>
      <family val="2"/>
      <scheme val="minor"/>
    </font>
    <font>
      <b/>
      <sz val="11"/>
      <name val="Calibri"/>
      <family val="2"/>
      <scheme val="minor"/>
    </font>
    <font>
      <sz val="14"/>
      <color rgb="FFFF0000"/>
      <name val="Calibri"/>
      <family val="2"/>
      <scheme val="minor"/>
    </font>
    <font>
      <sz val="14"/>
      <color theme="1"/>
      <name val="Calibri"/>
      <family val="2"/>
      <scheme val="minor"/>
    </font>
    <font>
      <u/>
      <sz val="11"/>
      <color theme="10"/>
      <name val="Calibri"/>
      <family val="2"/>
      <scheme val="minor"/>
    </font>
    <font>
      <sz val="14"/>
      <name val="Calibri"/>
      <family val="2"/>
      <scheme val="minor"/>
    </font>
    <font>
      <sz val="14"/>
      <color rgb="FFC00000"/>
      <name val="Calibri"/>
      <family val="2"/>
      <scheme val="minor"/>
    </font>
    <font>
      <u/>
      <sz val="14"/>
      <color theme="10"/>
      <name val="Calibri"/>
      <family val="2"/>
      <scheme val="minor"/>
    </font>
    <font>
      <sz val="8.5"/>
      <color rgb="FFFF0000"/>
      <name val="Book Antiqua"/>
      <family val="1"/>
    </font>
    <font>
      <i/>
      <sz val="11"/>
      <color rgb="FF083A42"/>
      <name val="Calibri"/>
      <family val="2"/>
      <scheme val="minor"/>
    </font>
    <font>
      <b/>
      <i/>
      <sz val="14"/>
      <color theme="1"/>
      <name val="Calibri"/>
      <family val="2"/>
      <scheme val="minor"/>
    </font>
    <font>
      <i/>
      <sz val="14"/>
      <color theme="1"/>
      <name val="Calibri"/>
      <family val="2"/>
      <scheme val="minor"/>
    </font>
    <font>
      <i/>
      <sz val="11"/>
      <color theme="1"/>
      <name val="Calibri"/>
      <family val="2"/>
      <scheme val="minor"/>
    </font>
    <font>
      <i/>
      <vertAlign val="subscript"/>
      <sz val="11"/>
      <color rgb="FF083A42"/>
      <name val="Calibri"/>
      <family val="2"/>
      <scheme val="minor"/>
    </font>
    <font>
      <strike/>
      <sz val="11"/>
      <color theme="1"/>
      <name val="Calibri"/>
      <family val="2"/>
      <scheme val="minor"/>
    </font>
    <font>
      <strike/>
      <sz val="16"/>
      <color rgb="FFFF0000"/>
      <name val="Calibri"/>
      <family val="2"/>
      <scheme val="minor"/>
    </font>
  </fonts>
  <fills count="1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5" tint="0.59999389629810485"/>
        <bgColor indexed="64"/>
      </patternFill>
    </fill>
    <fill>
      <patternFill patternType="solid">
        <fgColor rgb="FF7BA57B"/>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EFDDEF"/>
        <bgColor indexed="64"/>
      </patternFill>
    </fill>
    <fill>
      <patternFill patternType="solid">
        <fgColor theme="4" tint="0.79998168889431442"/>
        <bgColor indexed="64"/>
      </patternFill>
    </fill>
    <fill>
      <patternFill patternType="solid">
        <fgColor theme="7" tint="-0.249977111117893"/>
        <bgColor indexed="64"/>
      </patternFill>
    </fill>
    <fill>
      <patternFill patternType="solid">
        <fgColor rgb="FF00B0F0"/>
        <bgColor indexed="64"/>
      </patternFill>
    </fill>
  </fills>
  <borders count="38">
    <border>
      <left/>
      <right/>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double">
        <color indexed="64"/>
      </bottom>
      <diagonal/>
    </border>
    <border>
      <left/>
      <right/>
      <top/>
      <bottom style="double">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s>
  <cellStyleXfs count="3">
    <xf numFmtId="0" fontId="0" fillId="0" borderId="0"/>
    <xf numFmtId="43" fontId="12" fillId="0" borderId="0" applyFont="0" applyFill="0" applyBorder="0" applyAlignment="0" applyProtection="0"/>
    <xf numFmtId="0" fontId="18" fillId="0" borderId="0" applyNumberFormat="0" applyFill="0" applyBorder="0" applyAlignment="0" applyProtection="0"/>
  </cellStyleXfs>
  <cellXfs count="264">
    <xf numFmtId="0" fontId="0" fillId="0" borderId="0" xfId="0"/>
    <xf numFmtId="0" fontId="1" fillId="0" borderId="0" xfId="0" applyFont="1"/>
    <xf numFmtId="0" fontId="0" fillId="0" borderId="2" xfId="0" applyBorder="1"/>
    <xf numFmtId="0" fontId="2" fillId="0" borderId="0" xfId="0" applyFont="1"/>
    <xf numFmtId="9" fontId="0" fillId="0" borderId="2" xfId="0" applyNumberFormat="1" applyBorder="1"/>
    <xf numFmtId="0" fontId="0" fillId="3" borderId="2" xfId="0" applyFill="1" applyBorder="1"/>
    <xf numFmtId="0" fontId="1" fillId="0" borderId="2" xfId="0" applyFont="1" applyBorder="1" applyAlignment="1">
      <alignment wrapText="1"/>
    </xf>
    <xf numFmtId="0" fontId="1" fillId="0" borderId="2" xfId="0" applyFont="1" applyBorder="1"/>
    <xf numFmtId="0" fontId="1" fillId="0" borderId="0" xfId="0" applyFont="1" applyAlignment="1">
      <alignment wrapText="1"/>
    </xf>
    <xf numFmtId="0" fontId="4" fillId="0" borderId="1" xfId="0" applyFont="1" applyBorder="1"/>
    <xf numFmtId="0" fontId="4" fillId="0" borderId="0" xfId="0" applyFont="1"/>
    <xf numFmtId="0" fontId="0" fillId="0" borderId="4" xfId="0" applyBorder="1"/>
    <xf numFmtId="0" fontId="5" fillId="0" borderId="0" xfId="0" applyFont="1"/>
    <xf numFmtId="0" fontId="0" fillId="0" borderId="8" xfId="0" applyBorder="1"/>
    <xf numFmtId="0" fontId="0" fillId="0" borderId="12" xfId="0" applyBorder="1"/>
    <xf numFmtId="0" fontId="0" fillId="0" borderId="14" xfId="0" applyBorder="1"/>
    <xf numFmtId="0" fontId="0" fillId="0" borderId="15" xfId="0" applyBorder="1"/>
    <xf numFmtId="0" fontId="6" fillId="0" borderId="0" xfId="0" applyFont="1"/>
    <xf numFmtId="5" fontId="0" fillId="0" borderId="2" xfId="0" applyNumberFormat="1" applyBorder="1"/>
    <xf numFmtId="0" fontId="5" fillId="4" borderId="2" xfId="0" applyFont="1" applyFill="1" applyBorder="1"/>
    <xf numFmtId="0" fontId="0" fillId="0" borderId="0" xfId="0" applyAlignment="1">
      <alignment wrapText="1"/>
    </xf>
    <xf numFmtId="0" fontId="0" fillId="5" borderId="2" xfId="0" applyFill="1" applyBorder="1"/>
    <xf numFmtId="0" fontId="1" fillId="0" borderId="11" xfId="0" applyFont="1" applyBorder="1" applyAlignment="1">
      <alignment wrapText="1"/>
    </xf>
    <xf numFmtId="0" fontId="0" fillId="0" borderId="11" xfId="0" applyBorder="1"/>
    <xf numFmtId="0" fontId="0" fillId="0" borderId="13" xfId="0" applyBorder="1"/>
    <xf numFmtId="0" fontId="1" fillId="0" borderId="9" xfId="0" applyFont="1" applyBorder="1" applyAlignment="1">
      <alignment wrapText="1"/>
    </xf>
    <xf numFmtId="0" fontId="1" fillId="0" borderId="10" xfId="0" applyFont="1" applyBorder="1" applyAlignment="1">
      <alignment wrapText="1"/>
    </xf>
    <xf numFmtId="0" fontId="1" fillId="0" borderId="16" xfId="0" applyFont="1" applyBorder="1" applyAlignment="1">
      <alignment wrapText="1"/>
    </xf>
    <xf numFmtId="0" fontId="1" fillId="0" borderId="17" xfId="0" applyFont="1" applyBorder="1" applyAlignment="1">
      <alignment wrapText="1"/>
    </xf>
    <xf numFmtId="0" fontId="1" fillId="0" borderId="7" xfId="0" applyFont="1" applyBorder="1" applyAlignment="1">
      <alignment wrapText="1"/>
    </xf>
    <xf numFmtId="0" fontId="9" fillId="0" borderId="7" xfId="0" applyFont="1" applyBorder="1" applyAlignment="1">
      <alignment wrapText="1"/>
    </xf>
    <xf numFmtId="0" fontId="9" fillId="0" borderId="18" xfId="0" applyFont="1" applyBorder="1" applyAlignment="1">
      <alignment wrapText="1"/>
    </xf>
    <xf numFmtId="0" fontId="13" fillId="0" borderId="0" xfId="0" applyFont="1"/>
    <xf numFmtId="0" fontId="0" fillId="6" borderId="2" xfId="0" applyFill="1" applyBorder="1"/>
    <xf numFmtId="0" fontId="0" fillId="0" borderId="20" xfId="0" applyBorder="1"/>
    <xf numFmtId="0" fontId="1" fillId="0" borderId="20" xfId="0" applyFont="1" applyBorder="1"/>
    <xf numFmtId="0" fontId="14" fillId="4" borderId="2" xfId="0" applyFont="1" applyFill="1" applyBorder="1"/>
    <xf numFmtId="0" fontId="0" fillId="0" borderId="0" xfId="0" applyAlignment="1">
      <alignment vertical="center"/>
    </xf>
    <xf numFmtId="0" fontId="1" fillId="0" borderId="22" xfId="0" applyFont="1" applyBorder="1" applyAlignment="1">
      <alignment wrapText="1"/>
    </xf>
    <xf numFmtId="0" fontId="0" fillId="0" borderId="19" xfId="0" applyBorder="1"/>
    <xf numFmtId="0" fontId="15" fillId="0" borderId="19" xfId="0" applyFont="1" applyBorder="1"/>
    <xf numFmtId="166" fontId="1" fillId="6" borderId="2" xfId="0" applyNumberFormat="1" applyFont="1" applyFill="1" applyBorder="1" applyAlignment="1">
      <alignment vertical="center"/>
    </xf>
    <xf numFmtId="0" fontId="0" fillId="3" borderId="2" xfId="0" applyFill="1" applyBorder="1" applyAlignment="1">
      <alignment vertical="center"/>
    </xf>
    <xf numFmtId="0" fontId="0" fillId="5" borderId="2" xfId="0" applyFill="1" applyBorder="1" applyAlignment="1">
      <alignment vertical="center" wrapText="1"/>
    </xf>
    <xf numFmtId="0" fontId="0" fillId="5" borderId="2" xfId="0" applyFill="1" applyBorder="1" applyAlignment="1">
      <alignment vertical="center"/>
    </xf>
    <xf numFmtId="166" fontId="0" fillId="5" borderId="2" xfId="1" applyNumberFormat="1" applyFont="1" applyFill="1" applyBorder="1" applyAlignment="1">
      <alignment vertical="center"/>
    </xf>
    <xf numFmtId="166" fontId="0" fillId="3" borderId="2" xfId="1" applyNumberFormat="1" applyFont="1" applyFill="1" applyBorder="1" applyAlignment="1">
      <alignment vertical="center"/>
    </xf>
    <xf numFmtId="0" fontId="1" fillId="0" borderId="8" xfId="0" applyFont="1" applyBorder="1" applyAlignment="1">
      <alignment wrapText="1"/>
    </xf>
    <xf numFmtId="0" fontId="0" fillId="0" borderId="23" xfId="0" applyBorder="1"/>
    <xf numFmtId="0" fontId="5" fillId="4" borderId="11" xfId="0" applyFont="1" applyFill="1" applyBorder="1"/>
    <xf numFmtId="0" fontId="5" fillId="4" borderId="13" xfId="0" applyFont="1" applyFill="1" applyBorder="1"/>
    <xf numFmtId="0" fontId="14" fillId="4" borderId="23" xfId="0" applyFont="1" applyFill="1" applyBorder="1"/>
    <xf numFmtId="0" fontId="1" fillId="0" borderId="24" xfId="0" applyFont="1" applyBorder="1" applyAlignment="1">
      <alignment wrapText="1"/>
    </xf>
    <xf numFmtId="0" fontId="1" fillId="0" borderId="4" xfId="0" applyFont="1" applyBorder="1"/>
    <xf numFmtId="0" fontId="0" fillId="0" borderId="25" xfId="0" applyBorder="1"/>
    <xf numFmtId="0" fontId="1" fillId="0" borderId="19" xfId="0" applyFont="1" applyBorder="1"/>
    <xf numFmtId="0" fontId="16" fillId="0" borderId="0" xfId="0" applyFont="1"/>
    <xf numFmtId="0" fontId="0" fillId="7" borderId="2" xfId="0" applyFill="1" applyBorder="1"/>
    <xf numFmtId="0" fontId="0" fillId="7" borderId="11" xfId="0" applyFill="1" applyBorder="1" applyAlignment="1">
      <alignment vertical="center"/>
    </xf>
    <xf numFmtId="0" fontId="0" fillId="7" borderId="2" xfId="0" applyFill="1" applyBorder="1" applyAlignment="1">
      <alignment vertical="center"/>
    </xf>
    <xf numFmtId="0" fontId="0" fillId="7" borderId="12" xfId="0" applyFill="1" applyBorder="1" applyAlignment="1">
      <alignment vertical="center"/>
    </xf>
    <xf numFmtId="0" fontId="0" fillId="7" borderId="8" xfId="0" applyFill="1" applyBorder="1" applyAlignment="1">
      <alignment vertical="center"/>
    </xf>
    <xf numFmtId="0" fontId="0" fillId="0" borderId="0" xfId="0" applyAlignment="1">
      <alignment horizontal="left" vertical="center"/>
    </xf>
    <xf numFmtId="0" fontId="17" fillId="0" borderId="0" xfId="0" applyFont="1" applyAlignment="1">
      <alignment horizontal="left" wrapText="1"/>
    </xf>
    <xf numFmtId="0" fontId="0" fillId="6" borderId="2" xfId="0" applyFill="1" applyBorder="1" applyAlignment="1">
      <alignment vertical="center"/>
    </xf>
    <xf numFmtId="164" fontId="0" fillId="0" borderId="19" xfId="0" applyNumberFormat="1" applyBorder="1"/>
    <xf numFmtId="0" fontId="17" fillId="0" borderId="0" xfId="0" applyFont="1" applyAlignment="1">
      <alignment wrapText="1"/>
    </xf>
    <xf numFmtId="0" fontId="1" fillId="8" borderId="2" xfId="0" applyFont="1" applyFill="1" applyBorder="1" applyAlignment="1">
      <alignment wrapText="1"/>
    </xf>
    <xf numFmtId="0" fontId="1" fillId="9" borderId="2" xfId="0" applyFont="1" applyFill="1" applyBorder="1" applyAlignment="1">
      <alignment wrapText="1"/>
    </xf>
    <xf numFmtId="0" fontId="1" fillId="10" borderId="2" xfId="0" applyFont="1" applyFill="1" applyBorder="1" applyAlignment="1">
      <alignment wrapText="1"/>
    </xf>
    <xf numFmtId="0" fontId="1" fillId="11" borderId="2" xfId="0" applyFont="1" applyFill="1" applyBorder="1" applyAlignment="1">
      <alignment wrapText="1"/>
    </xf>
    <xf numFmtId="0" fontId="15" fillId="0" borderId="0" xfId="0" applyFont="1"/>
    <xf numFmtId="0" fontId="14" fillId="5" borderId="2" xfId="0" applyFont="1" applyFill="1" applyBorder="1" applyAlignment="1">
      <alignment vertical="center" wrapText="1"/>
    </xf>
    <xf numFmtId="0" fontId="15" fillId="0" borderId="7" xfId="0" applyFont="1" applyBorder="1" applyAlignment="1">
      <alignment wrapText="1"/>
    </xf>
    <xf numFmtId="0" fontId="1" fillId="0" borderId="0" xfId="0" applyFont="1" applyAlignment="1">
      <alignment vertical="center"/>
    </xf>
    <xf numFmtId="0" fontId="14" fillId="4" borderId="11" xfId="0" applyFont="1" applyFill="1" applyBorder="1" applyAlignment="1">
      <alignment vertical="center"/>
    </xf>
    <xf numFmtId="0" fontId="17" fillId="0" borderId="2" xfId="0" applyFont="1" applyBorder="1"/>
    <xf numFmtId="0" fontId="17" fillId="2" borderId="2" xfId="0" applyFont="1" applyFill="1" applyBorder="1"/>
    <xf numFmtId="0" fontId="17" fillId="0" borderId="0" xfId="0" applyFont="1"/>
    <xf numFmtId="0" fontId="19" fillId="2" borderId="2" xfId="0" applyFont="1" applyFill="1" applyBorder="1" applyAlignment="1">
      <alignment vertical="center"/>
    </xf>
    <xf numFmtId="0" fontId="19" fillId="4" borderId="2" xfId="0" applyFont="1" applyFill="1" applyBorder="1" applyAlignment="1">
      <alignment horizontal="left" vertical="center"/>
    </xf>
    <xf numFmtId="0" fontId="20" fillId="0" borderId="0" xfId="0" applyFont="1"/>
    <xf numFmtId="0" fontId="19" fillId="0" borderId="2" xfId="0" applyFont="1" applyBorder="1" applyAlignment="1">
      <alignment wrapText="1"/>
    </xf>
    <xf numFmtId="0" fontId="19" fillId="0" borderId="2" xfId="0" applyFont="1" applyBorder="1"/>
    <xf numFmtId="0" fontId="19" fillId="7" borderId="2" xfId="0" applyFont="1" applyFill="1" applyBorder="1" applyAlignment="1">
      <alignment horizontal="left" vertical="center" wrapText="1"/>
    </xf>
    <xf numFmtId="165" fontId="4" fillId="0" borderId="0" xfId="0" applyNumberFormat="1" applyFont="1"/>
    <xf numFmtId="7" fontId="4" fillId="0" borderId="0" xfId="0" applyNumberFormat="1" applyFont="1"/>
    <xf numFmtId="0" fontId="19" fillId="0" borderId="0" xfId="0" applyFont="1"/>
    <xf numFmtId="0" fontId="21" fillId="0" borderId="0" xfId="2" applyFont="1"/>
    <xf numFmtId="0" fontId="14" fillId="4" borderId="2" xfId="0" applyFont="1" applyFill="1" applyBorder="1" applyAlignment="1">
      <alignment vertical="center"/>
    </xf>
    <xf numFmtId="0" fontId="0" fillId="5" borderId="11" xfId="0" applyFill="1" applyBorder="1" applyAlignment="1">
      <alignment vertical="center"/>
    </xf>
    <xf numFmtId="0" fontId="0" fillId="3" borderId="11" xfId="0" applyFill="1" applyBorder="1" applyAlignment="1">
      <alignment vertical="center"/>
    </xf>
    <xf numFmtId="0" fontId="0" fillId="6" borderId="11" xfId="0" applyFill="1" applyBorder="1" applyAlignment="1">
      <alignment vertical="center"/>
    </xf>
    <xf numFmtId="0" fontId="15" fillId="10" borderId="2" xfId="0" applyFont="1" applyFill="1" applyBorder="1" applyAlignment="1">
      <alignment wrapText="1"/>
    </xf>
    <xf numFmtId="0" fontId="22" fillId="0" borderId="0" xfId="0" applyFont="1"/>
    <xf numFmtId="0" fontId="23" fillId="0" borderId="0" xfId="0" applyFont="1" applyAlignment="1">
      <alignment vertical="center"/>
    </xf>
    <xf numFmtId="0" fontId="23" fillId="0" borderId="2" xfId="0" applyFont="1" applyBorder="1" applyAlignment="1">
      <alignment vertical="center"/>
    </xf>
    <xf numFmtId="0" fontId="23" fillId="0" borderId="2" xfId="0" applyFont="1" applyBorder="1" applyAlignment="1">
      <alignment vertical="center" wrapText="1"/>
    </xf>
    <xf numFmtId="1" fontId="0" fillId="5" borderId="12" xfId="0" applyNumberFormat="1" applyFill="1" applyBorder="1" applyAlignment="1">
      <alignment vertical="center"/>
    </xf>
    <xf numFmtId="0" fontId="0" fillId="0" borderId="28" xfId="0" applyBorder="1"/>
    <xf numFmtId="0" fontId="14" fillId="4" borderId="23" xfId="0" applyFont="1" applyFill="1" applyBorder="1" applyAlignment="1">
      <alignment vertical="center"/>
    </xf>
    <xf numFmtId="0" fontId="5" fillId="4" borderId="23" xfId="0" applyFont="1" applyFill="1" applyBorder="1"/>
    <xf numFmtId="0" fontId="0" fillId="0" borderId="29" xfId="0" applyBorder="1"/>
    <xf numFmtId="0" fontId="0" fillId="0" borderId="30" xfId="0" applyBorder="1"/>
    <xf numFmtId="0" fontId="0" fillId="0" borderId="31" xfId="0" applyBorder="1"/>
    <xf numFmtId="167" fontId="0" fillId="5" borderId="2" xfId="0" applyNumberFormat="1" applyFill="1" applyBorder="1" applyAlignment="1">
      <alignment vertical="center"/>
    </xf>
    <xf numFmtId="1" fontId="0" fillId="5" borderId="2" xfId="0" applyNumberFormat="1" applyFill="1" applyBorder="1" applyAlignment="1">
      <alignment vertical="center"/>
    </xf>
    <xf numFmtId="1" fontId="0" fillId="3" borderId="2" xfId="0" applyNumberFormat="1" applyFill="1" applyBorder="1" applyAlignment="1">
      <alignment vertical="center"/>
    </xf>
    <xf numFmtId="1" fontId="0" fillId="6" borderId="2" xfId="0" applyNumberFormat="1" applyFill="1" applyBorder="1" applyAlignment="1">
      <alignment vertical="center"/>
    </xf>
    <xf numFmtId="167" fontId="0" fillId="3" borderId="2" xfId="0" applyNumberFormat="1" applyFill="1" applyBorder="1" applyAlignment="1">
      <alignment vertical="center"/>
    </xf>
    <xf numFmtId="0" fontId="9" fillId="12" borderId="7" xfId="0" applyFont="1" applyFill="1" applyBorder="1" applyAlignment="1">
      <alignment wrapText="1"/>
    </xf>
    <xf numFmtId="0" fontId="9" fillId="12" borderId="18" xfId="0" applyFont="1" applyFill="1" applyBorder="1" applyAlignment="1">
      <alignment wrapText="1"/>
    </xf>
    <xf numFmtId="1" fontId="0" fillId="6" borderId="12" xfId="0" applyNumberFormat="1" applyFill="1" applyBorder="1" applyAlignment="1">
      <alignment vertical="center"/>
    </xf>
    <xf numFmtId="0" fontId="0" fillId="3" borderId="2" xfId="0" applyFill="1" applyBorder="1" applyAlignment="1">
      <alignment wrapText="1"/>
    </xf>
    <xf numFmtId="166" fontId="0" fillId="5" borderId="2" xfId="0" applyNumberFormat="1" applyFill="1" applyBorder="1" applyAlignment="1">
      <alignment vertical="center"/>
    </xf>
    <xf numFmtId="0" fontId="9" fillId="12" borderId="2" xfId="0" applyFont="1" applyFill="1" applyBorder="1" applyAlignment="1">
      <alignment wrapText="1"/>
    </xf>
    <xf numFmtId="1" fontId="0" fillId="5" borderId="2" xfId="0" applyNumberFormat="1" applyFill="1" applyBorder="1"/>
    <xf numFmtId="1" fontId="0" fillId="3" borderId="2" xfId="0" applyNumberFormat="1" applyFill="1" applyBorder="1"/>
    <xf numFmtId="1" fontId="0" fillId="6" borderId="2" xfId="0" applyNumberFormat="1" applyFill="1" applyBorder="1"/>
    <xf numFmtId="0" fontId="25" fillId="0" borderId="0" xfId="0" applyFont="1"/>
    <xf numFmtId="0" fontId="26" fillId="0" borderId="0" xfId="0" applyFont="1"/>
    <xf numFmtId="0" fontId="24" fillId="0" borderId="0" xfId="0" applyFont="1"/>
    <xf numFmtId="0" fontId="24" fillId="11" borderId="2" xfId="0" applyFont="1" applyFill="1" applyBorder="1" applyAlignment="1">
      <alignment wrapText="1"/>
    </xf>
    <xf numFmtId="165" fontId="24" fillId="11" borderId="2" xfId="0" applyNumberFormat="1" applyFont="1" applyFill="1" applyBorder="1"/>
    <xf numFmtId="0" fontId="24" fillId="13" borderId="2" xfId="0" applyFont="1" applyFill="1" applyBorder="1" applyAlignment="1">
      <alignment wrapText="1"/>
    </xf>
    <xf numFmtId="0" fontId="0" fillId="0" borderId="27" xfId="0" applyBorder="1"/>
    <xf numFmtId="0" fontId="0" fillId="0" borderId="32" xfId="0" applyBorder="1"/>
    <xf numFmtId="0" fontId="0" fillId="7" borderId="17" xfId="0" applyFill="1" applyBorder="1"/>
    <xf numFmtId="0" fontId="0" fillId="7" borderId="7" xfId="0" applyFill="1" applyBorder="1"/>
    <xf numFmtId="0" fontId="0" fillId="7" borderId="18" xfId="0" applyFill="1" applyBorder="1"/>
    <xf numFmtId="0" fontId="0" fillId="7" borderId="26" xfId="0" applyFill="1" applyBorder="1"/>
    <xf numFmtId="0" fontId="1" fillId="0" borderId="33" xfId="0" applyFont="1" applyBorder="1" applyAlignment="1">
      <alignment wrapText="1"/>
    </xf>
    <xf numFmtId="0" fontId="1" fillId="0" borderId="34" xfId="0" applyFont="1" applyBorder="1" applyAlignment="1">
      <alignment wrapText="1"/>
    </xf>
    <xf numFmtId="0" fontId="1" fillId="0" borderId="35" xfId="0" applyFont="1" applyBorder="1" applyAlignment="1">
      <alignment wrapText="1"/>
    </xf>
    <xf numFmtId="167" fontId="0" fillId="6" borderId="11" xfId="0" applyNumberFormat="1" applyFill="1" applyBorder="1"/>
    <xf numFmtId="164" fontId="0" fillId="0" borderId="2" xfId="0" applyNumberFormat="1" applyBorder="1"/>
    <xf numFmtId="0" fontId="1" fillId="0" borderId="21" xfId="0" applyFont="1" applyBorder="1" applyAlignment="1">
      <alignment wrapText="1"/>
    </xf>
    <xf numFmtId="0" fontId="0" fillId="0" borderId="17" xfId="0" applyBorder="1"/>
    <xf numFmtId="0" fontId="0" fillId="0" borderId="36" xfId="0" applyBorder="1"/>
    <xf numFmtId="0" fontId="1" fillId="8" borderId="7" xfId="0" applyFont="1" applyFill="1" applyBorder="1" applyAlignment="1">
      <alignment wrapText="1"/>
    </xf>
    <xf numFmtId="0" fontId="1" fillId="11" borderId="7" xfId="0" applyFont="1" applyFill="1" applyBorder="1" applyAlignment="1">
      <alignment wrapText="1"/>
    </xf>
    <xf numFmtId="0" fontId="1" fillId="10" borderId="23" xfId="0" applyFont="1" applyFill="1" applyBorder="1" applyAlignment="1">
      <alignment wrapText="1"/>
    </xf>
    <xf numFmtId="0" fontId="24" fillId="6" borderId="2" xfId="0" applyFont="1" applyFill="1" applyBorder="1" applyAlignment="1">
      <alignment wrapText="1"/>
    </xf>
    <xf numFmtId="7" fontId="24" fillId="6" borderId="2" xfId="0" applyNumberFormat="1" applyFont="1" applyFill="1" applyBorder="1"/>
    <xf numFmtId="164" fontId="24" fillId="13" borderId="2" xfId="0" applyNumberFormat="1" applyFont="1" applyFill="1" applyBorder="1"/>
    <xf numFmtId="164" fontId="24" fillId="11" borderId="2" xfId="0" applyNumberFormat="1" applyFont="1" applyFill="1" applyBorder="1"/>
    <xf numFmtId="166" fontId="1" fillId="6" borderId="12" xfId="0" applyNumberFormat="1" applyFont="1" applyFill="1" applyBorder="1" applyAlignment="1">
      <alignment vertical="center"/>
    </xf>
    <xf numFmtId="0" fontId="1" fillId="0" borderId="18" xfId="0" applyFont="1" applyBorder="1" applyAlignment="1">
      <alignment wrapText="1"/>
    </xf>
    <xf numFmtId="0" fontId="24" fillId="14" borderId="2" xfId="0" applyFont="1" applyFill="1" applyBorder="1" applyAlignment="1">
      <alignment wrapText="1"/>
    </xf>
    <xf numFmtId="5" fontId="24" fillId="14" borderId="2" xfId="0" applyNumberFormat="1" applyFont="1" applyFill="1" applyBorder="1"/>
    <xf numFmtId="0" fontId="0" fillId="3" borderId="23" xfId="0" applyFill="1" applyBorder="1"/>
    <xf numFmtId="0" fontId="0" fillId="3" borderId="2" xfId="0" applyFill="1" applyBorder="1" applyAlignment="1">
      <alignment horizontal="right"/>
    </xf>
    <xf numFmtId="0" fontId="0" fillId="4" borderId="11" xfId="0" applyFill="1" applyBorder="1"/>
    <xf numFmtId="0" fontId="0" fillId="5" borderId="11" xfId="0" applyFill="1" applyBorder="1"/>
    <xf numFmtId="167" fontId="0" fillId="5" borderId="2" xfId="0" applyNumberFormat="1" applyFill="1" applyBorder="1"/>
    <xf numFmtId="1" fontId="1" fillId="0" borderId="20" xfId="0" applyNumberFormat="1" applyFont="1" applyBorder="1"/>
    <xf numFmtId="168" fontId="0" fillId="0" borderId="2" xfId="0" applyNumberFormat="1" applyBorder="1"/>
    <xf numFmtId="167" fontId="0" fillId="0" borderId="2" xfId="0" applyNumberFormat="1" applyBorder="1"/>
    <xf numFmtId="1" fontId="0" fillId="0" borderId="2" xfId="0" applyNumberFormat="1" applyBorder="1"/>
    <xf numFmtId="0" fontId="9" fillId="0" borderId="21" xfId="0" applyFont="1" applyBorder="1" applyAlignment="1">
      <alignment wrapText="1"/>
    </xf>
    <xf numFmtId="1" fontId="0" fillId="3" borderId="8" xfId="0" applyNumberFormat="1" applyFill="1" applyBorder="1" applyAlignment="1">
      <alignment vertical="center"/>
    </xf>
    <xf numFmtId="0" fontId="0" fillId="0" borderId="37" xfId="0" applyBorder="1"/>
    <xf numFmtId="168" fontId="0" fillId="0" borderId="14" xfId="0" applyNumberFormat="1" applyBorder="1"/>
    <xf numFmtId="166" fontId="0" fillId="5" borderId="8" xfId="0" applyNumberFormat="1" applyFill="1" applyBorder="1" applyAlignment="1">
      <alignment vertical="center"/>
    </xf>
    <xf numFmtId="166" fontId="0" fillId="3" borderId="12" xfId="1" applyNumberFormat="1" applyFont="1" applyFill="1" applyBorder="1" applyAlignment="1">
      <alignment vertical="center"/>
    </xf>
    <xf numFmtId="0" fontId="1" fillId="9" borderId="7" xfId="0" applyFont="1" applyFill="1" applyBorder="1" applyAlignment="1">
      <alignment wrapText="1"/>
    </xf>
    <xf numFmtId="0" fontId="15" fillId="0" borderId="0" xfId="0" applyFont="1" applyAlignment="1">
      <alignment wrapText="1"/>
    </xf>
    <xf numFmtId="3" fontId="0" fillId="0" borderId="2" xfId="0" applyNumberFormat="1" applyBorder="1"/>
    <xf numFmtId="0" fontId="0" fillId="5" borderId="2" xfId="0" applyFill="1" applyBorder="1" applyAlignment="1">
      <alignment horizontal="right"/>
    </xf>
    <xf numFmtId="0" fontId="1" fillId="5" borderId="2" xfId="0" applyFont="1" applyFill="1" applyBorder="1"/>
    <xf numFmtId="0" fontId="29" fillId="0" borderId="0" xfId="0" applyFont="1"/>
    <xf numFmtId="0" fontId="28" fillId="0" borderId="0" xfId="0" applyFont="1"/>
    <xf numFmtId="3" fontId="0" fillId="7" borderId="11" xfId="0" applyNumberFormat="1" applyFill="1" applyBorder="1"/>
    <xf numFmtId="3" fontId="0" fillId="7" borderId="2" xfId="0" applyNumberFormat="1" applyFill="1" applyBorder="1"/>
    <xf numFmtId="0" fontId="0" fillId="3" borderId="11" xfId="0" applyFill="1" applyBorder="1" applyAlignment="1">
      <alignment horizontal="left" vertical="center" wrapText="1"/>
    </xf>
    <xf numFmtId="1" fontId="0" fillId="0" borderId="20" xfId="0" applyNumberFormat="1" applyBorder="1"/>
    <xf numFmtId="1" fontId="1" fillId="6" borderId="11" xfId="0" applyNumberFormat="1" applyFont="1" applyFill="1" applyBorder="1" applyAlignment="1">
      <alignment vertical="center"/>
    </xf>
    <xf numFmtId="0" fontId="18" fillId="0" borderId="2" xfId="2" applyBorder="1"/>
    <xf numFmtId="3" fontId="0" fillId="0" borderId="19" xfId="0" applyNumberFormat="1" applyBorder="1"/>
    <xf numFmtId="0" fontId="0" fillId="3" borderId="2" xfId="0" applyFill="1" applyBorder="1" applyAlignment="1">
      <alignment horizontal="right" vertical="center"/>
    </xf>
    <xf numFmtId="0" fontId="0" fillId="7" borderId="2" xfId="0" applyFill="1" applyBorder="1" applyAlignment="1">
      <alignment horizontal="right" vertical="center"/>
    </xf>
    <xf numFmtId="168" fontId="0" fillId="6" borderId="2" xfId="0" applyNumberFormat="1" applyFill="1" applyBorder="1" applyAlignment="1">
      <alignment horizontal="right" vertical="center"/>
    </xf>
    <xf numFmtId="168" fontId="0" fillId="5" borderId="2" xfId="0" applyNumberFormat="1" applyFill="1" applyBorder="1" applyAlignment="1">
      <alignment horizontal="right" vertical="center"/>
    </xf>
    <xf numFmtId="3" fontId="0" fillId="5" borderId="2" xfId="0" applyNumberFormat="1" applyFill="1" applyBorder="1"/>
    <xf numFmtId="3" fontId="0" fillId="5" borderId="12" xfId="0" applyNumberFormat="1" applyFill="1" applyBorder="1"/>
    <xf numFmtId="3" fontId="0" fillId="6" borderId="2" xfId="0" applyNumberFormat="1" applyFill="1" applyBorder="1"/>
    <xf numFmtId="3" fontId="0" fillId="0" borderId="14" xfId="0" applyNumberFormat="1" applyBorder="1"/>
    <xf numFmtId="3" fontId="1" fillId="0" borderId="20" xfId="0" applyNumberFormat="1" applyFont="1" applyBorder="1"/>
    <xf numFmtId="3" fontId="0" fillId="3" borderId="2" xfId="0" applyNumberFormat="1" applyFill="1" applyBorder="1"/>
    <xf numFmtId="3" fontId="0" fillId="5" borderId="2" xfId="0" applyNumberFormat="1" applyFill="1" applyBorder="1" applyAlignment="1">
      <alignment horizontal="right" vertical="center"/>
    </xf>
    <xf numFmtId="3" fontId="0" fillId="5" borderId="23" xfId="0" applyNumberFormat="1" applyFill="1" applyBorder="1" applyAlignment="1">
      <alignment horizontal="right" vertical="center"/>
    </xf>
    <xf numFmtId="3" fontId="14" fillId="4" borderId="11" xfId="0" applyNumberFormat="1" applyFont="1" applyFill="1" applyBorder="1" applyAlignment="1">
      <alignment vertical="center"/>
    </xf>
    <xf numFmtId="3" fontId="0" fillId="3" borderId="2" xfId="0" applyNumberFormat="1" applyFill="1" applyBorder="1" applyAlignment="1">
      <alignment horizontal="right" vertical="center"/>
    </xf>
    <xf numFmtId="3" fontId="0" fillId="3" borderId="23" xfId="0" applyNumberFormat="1" applyFill="1" applyBorder="1" applyAlignment="1">
      <alignment horizontal="right" vertical="center"/>
    </xf>
    <xf numFmtId="3" fontId="0" fillId="7" borderId="2" xfId="0" applyNumberFormat="1" applyFill="1" applyBorder="1" applyAlignment="1">
      <alignment horizontal="right" vertical="center"/>
    </xf>
    <xf numFmtId="0" fontId="14" fillId="3" borderId="2" xfId="0" applyFont="1" applyFill="1" applyBorder="1" applyAlignment="1">
      <alignment vertical="center"/>
    </xf>
    <xf numFmtId="164" fontId="0" fillId="0" borderId="2" xfId="0" quotePrefix="1" applyNumberFormat="1" applyBorder="1"/>
    <xf numFmtId="0" fontId="1" fillId="5" borderId="5" xfId="0" applyFont="1" applyFill="1" applyBorder="1" applyAlignment="1">
      <alignment vertical="center"/>
    </xf>
    <xf numFmtId="0" fontId="1" fillId="5" borderId="3" xfId="0" applyFont="1" applyFill="1" applyBorder="1" applyAlignment="1">
      <alignment vertical="center"/>
    </xf>
    <xf numFmtId="0" fontId="1" fillId="5" borderId="6" xfId="0" applyFont="1" applyFill="1" applyBorder="1" applyAlignment="1">
      <alignment vertical="center"/>
    </xf>
    <xf numFmtId="0" fontId="1" fillId="0" borderId="4" xfId="0" applyFont="1" applyBorder="1" applyAlignment="1">
      <alignment wrapText="1"/>
    </xf>
    <xf numFmtId="1" fontId="0" fillId="5" borderId="2" xfId="0" applyNumberFormat="1" applyFill="1" applyBorder="1" applyAlignment="1">
      <alignment horizontal="right"/>
    </xf>
    <xf numFmtId="0" fontId="0" fillId="5" borderId="11" xfId="0" applyFill="1" applyBorder="1" applyAlignment="1">
      <alignment horizontal="left" wrapText="1"/>
    </xf>
    <xf numFmtId="3" fontId="0" fillId="6" borderId="2" xfId="0" applyNumberFormat="1" applyFill="1" applyBorder="1" applyAlignment="1">
      <alignment horizontal="right"/>
    </xf>
    <xf numFmtId="0" fontId="15" fillId="8" borderId="8" xfId="0" applyFont="1" applyFill="1" applyBorder="1" applyAlignment="1">
      <alignment wrapText="1"/>
    </xf>
    <xf numFmtId="0" fontId="15" fillId="8" borderId="27" xfId="0" applyFont="1" applyFill="1" applyBorder="1" applyAlignment="1">
      <alignment wrapText="1"/>
    </xf>
    <xf numFmtId="0" fontId="15" fillId="8" borderId="23" xfId="0" applyFont="1" applyFill="1" applyBorder="1" applyAlignment="1">
      <alignment wrapText="1"/>
    </xf>
    <xf numFmtId="0" fontId="0" fillId="7" borderId="26" xfId="0" applyFill="1" applyBorder="1" applyAlignment="1">
      <alignment horizontal="right"/>
    </xf>
    <xf numFmtId="1" fontId="0" fillId="3" borderId="8" xfId="0" applyNumberFormat="1" applyFill="1" applyBorder="1"/>
    <xf numFmtId="3" fontId="0" fillId="6" borderId="12" xfId="0" applyNumberFormat="1" applyFill="1" applyBorder="1"/>
    <xf numFmtId="3" fontId="0" fillId="6" borderId="11" xfId="0" applyNumberFormat="1" applyFill="1" applyBorder="1" applyAlignment="1">
      <alignment horizontal="right"/>
    </xf>
    <xf numFmtId="3" fontId="0" fillId="0" borderId="12" xfId="0" applyNumberFormat="1" applyBorder="1"/>
    <xf numFmtId="3" fontId="0" fillId="0" borderId="15" xfId="0" applyNumberFormat="1" applyBorder="1"/>
    <xf numFmtId="9" fontId="0" fillId="3" borderId="2" xfId="0" applyNumberFormat="1" applyFill="1" applyBorder="1" applyAlignment="1">
      <alignment vertical="center"/>
    </xf>
    <xf numFmtId="9" fontId="0" fillId="3" borderId="2" xfId="0" applyNumberFormat="1" applyFill="1" applyBorder="1" applyAlignment="1">
      <alignment horizontal="right" vertical="center"/>
    </xf>
    <xf numFmtId="9" fontId="0" fillId="5" borderId="2" xfId="0" applyNumberFormat="1" applyFill="1" applyBorder="1" applyAlignment="1">
      <alignment vertical="center"/>
    </xf>
    <xf numFmtId="167" fontId="0" fillId="6" borderId="2" xfId="0" applyNumberFormat="1" applyFill="1" applyBorder="1" applyAlignment="1">
      <alignment vertical="center"/>
    </xf>
    <xf numFmtId="167" fontId="0" fillId="0" borderId="20" xfId="0" applyNumberFormat="1" applyBorder="1"/>
    <xf numFmtId="2" fontId="0" fillId="3" borderId="2" xfId="0" applyNumberFormat="1" applyFill="1" applyBorder="1" applyAlignment="1">
      <alignment horizontal="right"/>
    </xf>
    <xf numFmtId="167" fontId="1" fillId="0" borderId="20" xfId="0" applyNumberFormat="1" applyFont="1" applyBorder="1"/>
    <xf numFmtId="0" fontId="17" fillId="0" borderId="0" xfId="0" applyFont="1" applyAlignment="1">
      <alignment wrapText="1"/>
    </xf>
    <xf numFmtId="0" fontId="17" fillId="0" borderId="0" xfId="0" applyFont="1"/>
    <xf numFmtId="0" fontId="17" fillId="0" borderId="0" xfId="0" applyFont="1" applyAlignment="1">
      <alignment horizontal="left" wrapText="1"/>
    </xf>
    <xf numFmtId="0" fontId="15" fillId="8" borderId="2" xfId="0" applyFont="1" applyFill="1" applyBorder="1" applyAlignment="1">
      <alignment horizontal="center" wrapText="1"/>
    </xf>
    <xf numFmtId="0" fontId="1" fillId="6" borderId="5" xfId="0" applyFont="1" applyFill="1" applyBorder="1" applyAlignment="1">
      <alignment horizontal="center" vertical="center"/>
    </xf>
    <xf numFmtId="0" fontId="1" fillId="6" borderId="3" xfId="0" applyFont="1" applyFill="1" applyBorder="1" applyAlignment="1">
      <alignment horizontal="center" vertical="center"/>
    </xf>
    <xf numFmtId="0" fontId="1" fillId="6" borderId="6" xfId="0" applyFont="1" applyFill="1" applyBorder="1" applyAlignment="1">
      <alignment horizontal="center" vertical="center"/>
    </xf>
    <xf numFmtId="0" fontId="1" fillId="3" borderId="5"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5" borderId="5" xfId="0" applyFont="1" applyFill="1" applyBorder="1" applyAlignment="1">
      <alignment horizontal="center" vertical="center"/>
    </xf>
    <xf numFmtId="0" fontId="1" fillId="5" borderId="3" xfId="0" applyFont="1" applyFill="1" applyBorder="1" applyAlignment="1">
      <alignment horizontal="center" vertical="center"/>
    </xf>
    <xf numFmtId="0" fontId="1" fillId="5" borderId="6" xfId="0" applyFont="1" applyFill="1" applyBorder="1" applyAlignment="1">
      <alignment horizontal="center" vertical="center"/>
    </xf>
    <xf numFmtId="0" fontId="1" fillId="6" borderId="5"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1" fillId="3" borderId="5"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6" xfId="0" applyFont="1" applyFill="1" applyBorder="1" applyAlignment="1">
      <alignment horizontal="center" vertical="center"/>
    </xf>
    <xf numFmtId="0" fontId="1" fillId="5" borderId="5"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15" fillId="8" borderId="8" xfId="0" applyFont="1" applyFill="1" applyBorder="1" applyAlignment="1">
      <alignment horizontal="center" wrapText="1"/>
    </xf>
    <xf numFmtId="0" fontId="15" fillId="8" borderId="27" xfId="0" applyFont="1" applyFill="1" applyBorder="1" applyAlignment="1">
      <alignment horizontal="center" wrapText="1"/>
    </xf>
    <xf numFmtId="0" fontId="15" fillId="8" borderId="23" xfId="0" applyFont="1" applyFill="1" applyBorder="1" applyAlignment="1">
      <alignment horizontal="center" wrapText="1"/>
    </xf>
    <xf numFmtId="0" fontId="1" fillId="6" borderId="21" xfId="0" applyFont="1" applyFill="1" applyBorder="1" applyAlignment="1">
      <alignment horizontal="center"/>
    </xf>
    <xf numFmtId="0" fontId="1" fillId="6" borderId="26" xfId="0" applyFont="1" applyFill="1" applyBorder="1" applyAlignment="1">
      <alignment horizontal="center"/>
    </xf>
    <xf numFmtId="0" fontId="1" fillId="5" borderId="8" xfId="0" applyFont="1" applyFill="1" applyBorder="1" applyAlignment="1">
      <alignment horizontal="center" vertical="center" wrapText="1"/>
    </xf>
    <xf numFmtId="0" fontId="1" fillId="5" borderId="27" xfId="0" applyFont="1" applyFill="1" applyBorder="1" applyAlignment="1">
      <alignment horizontal="center" vertical="center" wrapText="1"/>
    </xf>
    <xf numFmtId="0" fontId="1" fillId="5" borderId="23"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0" fillId="7" borderId="8" xfId="0" applyFill="1" applyBorder="1" applyAlignment="1">
      <alignment horizontal="center"/>
    </xf>
    <xf numFmtId="0" fontId="0" fillId="7" borderId="27" xfId="0" applyFill="1" applyBorder="1" applyAlignment="1">
      <alignment horizontal="center"/>
    </xf>
    <xf numFmtId="0" fontId="0" fillId="7" borderId="23" xfId="0" applyFill="1" applyBorder="1" applyAlignment="1">
      <alignment horizontal="center"/>
    </xf>
    <xf numFmtId="0" fontId="1" fillId="3" borderId="8"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23" xfId="0" applyFont="1" applyFill="1" applyBorder="1" applyAlignment="1">
      <alignment horizontal="center" vertical="center"/>
    </xf>
    <xf numFmtId="0" fontId="1" fillId="7" borderId="5"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5" fillId="8" borderId="5" xfId="0" applyFont="1" applyFill="1" applyBorder="1" applyAlignment="1">
      <alignment horizontal="center" wrapText="1"/>
    </xf>
    <xf numFmtId="0" fontId="15" fillId="8" borderId="3" xfId="0" applyFont="1" applyFill="1" applyBorder="1" applyAlignment="1">
      <alignment horizontal="center" wrapText="1"/>
    </xf>
    <xf numFmtId="0" fontId="15" fillId="8" borderId="6" xfId="0" applyFont="1" applyFill="1" applyBorder="1" applyAlignment="1">
      <alignment horizontal="center" wrapText="1"/>
    </xf>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7BA57B"/>
      <color rgb="FFEFD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58</xdr:row>
      <xdr:rowOff>73025</xdr:rowOff>
    </xdr:from>
    <xdr:to>
      <xdr:col>3</xdr:col>
      <xdr:colOff>559652</xdr:colOff>
      <xdr:row>85</xdr:row>
      <xdr:rowOff>48315</xdr:rowOff>
    </xdr:to>
    <xdr:pic>
      <xdr:nvPicPr>
        <xdr:cNvPr id="7" name="Picture 6">
          <a:extLst>
            <a:ext uri="{FF2B5EF4-FFF2-40B4-BE49-F238E27FC236}">
              <a16:creationId xmlns:a16="http://schemas.microsoft.com/office/drawing/2014/main" id="{A20AE447-D844-402C-A0E8-4D5CEBD09712}"/>
            </a:ext>
          </a:extLst>
        </xdr:cNvPr>
        <xdr:cNvPicPr>
          <a:picLocks noChangeAspect="1"/>
        </xdr:cNvPicPr>
      </xdr:nvPicPr>
      <xdr:blipFill>
        <a:blip xmlns:r="http://schemas.openxmlformats.org/officeDocument/2006/relationships" r:embed="rId1"/>
        <a:stretch>
          <a:fillRect/>
        </a:stretch>
      </xdr:blipFill>
      <xdr:spPr>
        <a:xfrm>
          <a:off x="0" y="12731750"/>
          <a:ext cx="6163527" cy="48584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66</xdr:row>
      <xdr:rowOff>161925</xdr:rowOff>
    </xdr:from>
    <xdr:to>
      <xdr:col>2</xdr:col>
      <xdr:colOff>1816867</xdr:colOff>
      <xdr:row>95</xdr:row>
      <xdr:rowOff>16600</xdr:rowOff>
    </xdr:to>
    <xdr:pic>
      <xdr:nvPicPr>
        <xdr:cNvPr id="4" name="Picture 3">
          <a:extLst>
            <a:ext uri="{FF2B5EF4-FFF2-40B4-BE49-F238E27FC236}">
              <a16:creationId xmlns:a16="http://schemas.microsoft.com/office/drawing/2014/main" id="{B968DFAC-16C0-4C27-B03C-3C51CB4556AE}"/>
            </a:ext>
          </a:extLst>
        </xdr:cNvPr>
        <xdr:cNvPicPr>
          <a:picLocks noChangeAspect="1"/>
        </xdr:cNvPicPr>
      </xdr:nvPicPr>
      <xdr:blipFill>
        <a:blip xmlns:r="http://schemas.openxmlformats.org/officeDocument/2006/relationships" r:embed="rId1"/>
        <a:stretch>
          <a:fillRect/>
        </a:stretch>
      </xdr:blipFill>
      <xdr:spPr>
        <a:xfrm>
          <a:off x="0" y="14230350"/>
          <a:ext cx="5817367" cy="51029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65</xdr:row>
      <xdr:rowOff>161925</xdr:rowOff>
    </xdr:from>
    <xdr:to>
      <xdr:col>3</xdr:col>
      <xdr:colOff>191267</xdr:colOff>
      <xdr:row>94</xdr:row>
      <xdr:rowOff>16600</xdr:rowOff>
    </xdr:to>
    <xdr:pic>
      <xdr:nvPicPr>
        <xdr:cNvPr id="3" name="Picture 2">
          <a:extLst>
            <a:ext uri="{FF2B5EF4-FFF2-40B4-BE49-F238E27FC236}">
              <a16:creationId xmlns:a16="http://schemas.microsoft.com/office/drawing/2014/main" id="{1829E753-183F-413A-9C80-1F5140269F88}"/>
            </a:ext>
          </a:extLst>
        </xdr:cNvPr>
        <xdr:cNvPicPr>
          <a:picLocks noChangeAspect="1"/>
        </xdr:cNvPicPr>
      </xdr:nvPicPr>
      <xdr:blipFill>
        <a:blip xmlns:r="http://schemas.openxmlformats.org/officeDocument/2006/relationships" r:embed="rId1"/>
        <a:stretch>
          <a:fillRect/>
        </a:stretch>
      </xdr:blipFill>
      <xdr:spPr>
        <a:xfrm>
          <a:off x="0" y="14979650"/>
          <a:ext cx="5820542" cy="5106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190500</xdr:colOff>
      <xdr:row>87</xdr:row>
      <xdr:rowOff>133350</xdr:rowOff>
    </xdr:from>
    <xdr:to>
      <xdr:col>3</xdr:col>
      <xdr:colOff>168275</xdr:colOff>
      <xdr:row>110</xdr:row>
      <xdr:rowOff>130392</xdr:rowOff>
    </xdr:to>
    <xdr:pic>
      <xdr:nvPicPr>
        <xdr:cNvPr id="3" name="Picture 2">
          <a:extLst>
            <a:ext uri="{FF2B5EF4-FFF2-40B4-BE49-F238E27FC236}">
              <a16:creationId xmlns:a16="http://schemas.microsoft.com/office/drawing/2014/main" id="{2D2F5129-877E-EC1B-6C03-35CDEB70B403}"/>
            </a:ext>
          </a:extLst>
        </xdr:cNvPr>
        <xdr:cNvPicPr>
          <a:picLocks noChangeAspect="1"/>
        </xdr:cNvPicPr>
      </xdr:nvPicPr>
      <xdr:blipFill>
        <a:blip xmlns:r="http://schemas.openxmlformats.org/officeDocument/2006/relationships" r:embed="rId1"/>
        <a:stretch>
          <a:fillRect/>
        </a:stretch>
      </xdr:blipFill>
      <xdr:spPr>
        <a:xfrm>
          <a:off x="190500" y="16935450"/>
          <a:ext cx="5543550" cy="415946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314325</xdr:colOff>
      <xdr:row>82</xdr:row>
      <xdr:rowOff>47625</xdr:rowOff>
    </xdr:from>
    <xdr:to>
      <xdr:col>3</xdr:col>
      <xdr:colOff>492980</xdr:colOff>
      <xdr:row>98</xdr:row>
      <xdr:rowOff>25808</xdr:rowOff>
    </xdr:to>
    <xdr:pic>
      <xdr:nvPicPr>
        <xdr:cNvPr id="5" name="Picture 4">
          <a:extLst>
            <a:ext uri="{FF2B5EF4-FFF2-40B4-BE49-F238E27FC236}">
              <a16:creationId xmlns:a16="http://schemas.microsoft.com/office/drawing/2014/main" id="{03C8146C-F013-4B47-913D-87FE893470AA}"/>
            </a:ext>
          </a:extLst>
        </xdr:cNvPr>
        <xdr:cNvPicPr>
          <a:picLocks noChangeAspect="1"/>
        </xdr:cNvPicPr>
      </xdr:nvPicPr>
      <xdr:blipFill>
        <a:blip xmlns:r="http://schemas.openxmlformats.org/officeDocument/2006/relationships" r:embed="rId1"/>
        <a:stretch>
          <a:fillRect/>
        </a:stretch>
      </xdr:blipFill>
      <xdr:spPr>
        <a:xfrm>
          <a:off x="314325" y="17249775"/>
          <a:ext cx="4788755" cy="287695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66</xdr:row>
      <xdr:rowOff>38100</xdr:rowOff>
    </xdr:from>
    <xdr:to>
      <xdr:col>4</xdr:col>
      <xdr:colOff>1617</xdr:colOff>
      <xdr:row>96</xdr:row>
      <xdr:rowOff>19817</xdr:rowOff>
    </xdr:to>
    <xdr:pic>
      <xdr:nvPicPr>
        <xdr:cNvPr id="3" name="Picture 2">
          <a:extLst>
            <a:ext uri="{FF2B5EF4-FFF2-40B4-BE49-F238E27FC236}">
              <a16:creationId xmlns:a16="http://schemas.microsoft.com/office/drawing/2014/main" id="{563EFA53-5ECF-47A8-BFFD-B0E0C89B3BF9}"/>
            </a:ext>
          </a:extLst>
        </xdr:cNvPr>
        <xdr:cNvPicPr>
          <a:picLocks noChangeAspect="1"/>
        </xdr:cNvPicPr>
      </xdr:nvPicPr>
      <xdr:blipFill>
        <a:blip xmlns:r="http://schemas.openxmlformats.org/officeDocument/2006/relationships" r:embed="rId1"/>
        <a:stretch>
          <a:fillRect/>
        </a:stretch>
      </xdr:blipFill>
      <xdr:spPr>
        <a:xfrm>
          <a:off x="0" y="14639925"/>
          <a:ext cx="5522307" cy="541096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2">
    <wetp:webextensionref xmlns:r="http://schemas.openxmlformats.org/officeDocument/2006/relationships" r:id="rId1"/>
  </wetp:taskpane>
</wetp:taskpanes>
</file>

<file path=xl/webextensions/webextension1.xml><?xml version="1.0" encoding="utf-8"?>
<we:webextension xmlns:we="http://schemas.microsoft.com/office/webextensions/webextension/2010/11" id="{F4AE76C5-3E54-48B5-BB7F-F77175849412}">
  <we:reference id="a19c72e1-6786-40f7-b977-f44d74d31275" version="2.1.0.0" store="EXCatalog" storeType="EXCatalog"/>
  <we:alternateReferences>
    <we:reference id="WA104379279" version="2.1.0.0" store="en-AU"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dcceew.gov.au/climate-change/publications/national-greenhouse-accounts-factors"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63"/>
  <sheetViews>
    <sheetView tabSelected="1" zoomScaleNormal="100" workbookViewId="0">
      <selection activeCell="B2" sqref="B2"/>
    </sheetView>
  </sheetViews>
  <sheetFormatPr defaultRowHeight="14.5" x14ac:dyDescent="0.35"/>
  <cols>
    <col min="1" max="1" width="30.54296875" customWidth="1"/>
    <col min="2" max="2" width="33.54296875" customWidth="1"/>
    <col min="4" max="4" width="61.1796875" customWidth="1"/>
    <col min="5" max="6" width="34.1796875" customWidth="1"/>
    <col min="7" max="7" width="18.81640625" customWidth="1"/>
    <col min="8" max="8" width="26.1796875" customWidth="1"/>
    <col min="9" max="9" width="12.453125" customWidth="1"/>
  </cols>
  <sheetData>
    <row r="1" spans="1:7" ht="23.5" x14ac:dyDescent="0.55000000000000004">
      <c r="A1" s="17" t="s">
        <v>15</v>
      </c>
    </row>
    <row r="2" spans="1:7" ht="23.5" x14ac:dyDescent="0.55000000000000004">
      <c r="A2" s="17" t="s">
        <v>249</v>
      </c>
    </row>
    <row r="3" spans="1:7" ht="31.5" customHeight="1" x14ac:dyDescent="0.45">
      <c r="A3" s="10" t="s">
        <v>78</v>
      </c>
    </row>
    <row r="4" spans="1:7" ht="242.5" customHeight="1" x14ac:dyDescent="0.45">
      <c r="A4" s="222" t="s">
        <v>252</v>
      </c>
      <c r="B4" s="222"/>
      <c r="C4" s="222"/>
      <c r="D4" s="222"/>
      <c r="E4" s="222"/>
      <c r="F4" s="222"/>
      <c r="G4" s="222"/>
    </row>
    <row r="5" spans="1:7" ht="19" customHeight="1" x14ac:dyDescent="0.45">
      <c r="A5" s="63"/>
      <c r="B5" s="63"/>
      <c r="C5" s="63"/>
      <c r="D5" s="63"/>
      <c r="E5" s="63"/>
      <c r="F5" s="63"/>
      <c r="G5" s="63"/>
    </row>
    <row r="6" spans="1:7" ht="19" customHeight="1" x14ac:dyDescent="0.45">
      <c r="A6" s="10" t="s">
        <v>85</v>
      </c>
      <c r="B6" s="63"/>
      <c r="C6" s="63"/>
      <c r="D6" s="63"/>
      <c r="E6" s="63"/>
      <c r="F6" s="63"/>
      <c r="G6" s="63"/>
    </row>
    <row r="7" spans="1:7" ht="19" customHeight="1" x14ac:dyDescent="0.45">
      <c r="A7" s="63"/>
      <c r="B7" s="220" t="s">
        <v>179</v>
      </c>
      <c r="C7" s="220"/>
      <c r="D7" s="220"/>
      <c r="E7" s="63"/>
      <c r="F7" s="63"/>
      <c r="G7" s="63"/>
    </row>
    <row r="8" spans="1:7" ht="19" customHeight="1" x14ac:dyDescent="0.45">
      <c r="A8" s="63"/>
      <c r="B8" s="220" t="s">
        <v>8</v>
      </c>
      <c r="C8" s="220"/>
      <c r="D8" s="220"/>
      <c r="E8" s="63"/>
      <c r="F8" s="63"/>
      <c r="G8" s="63"/>
    </row>
    <row r="9" spans="1:7" ht="19" customHeight="1" x14ac:dyDescent="0.45">
      <c r="A9" s="63"/>
      <c r="B9" s="220" t="s">
        <v>9</v>
      </c>
      <c r="C9" s="220"/>
      <c r="D9" s="220"/>
      <c r="E9" s="63"/>
      <c r="F9" s="63"/>
      <c r="G9" s="63"/>
    </row>
    <row r="10" spans="1:7" ht="19" customHeight="1" x14ac:dyDescent="0.45">
      <c r="A10" s="63"/>
      <c r="B10" s="220" t="s">
        <v>10</v>
      </c>
      <c r="C10" s="220"/>
      <c r="D10" s="220"/>
      <c r="E10" s="63"/>
      <c r="F10" s="63"/>
      <c r="G10" s="63"/>
    </row>
    <row r="11" spans="1:7" ht="19" customHeight="1" x14ac:dyDescent="0.45">
      <c r="A11" s="63"/>
      <c r="B11" s="220" t="s">
        <v>11</v>
      </c>
      <c r="C11" s="220"/>
      <c r="D11" s="220"/>
      <c r="E11" s="63"/>
      <c r="F11" s="63"/>
      <c r="G11" s="63"/>
    </row>
    <row r="12" spans="1:7" ht="19" customHeight="1" x14ac:dyDescent="0.45">
      <c r="A12" s="63"/>
      <c r="B12" s="220" t="s">
        <v>195</v>
      </c>
      <c r="C12" s="220"/>
      <c r="D12" s="220"/>
      <c r="E12" s="63"/>
      <c r="F12" s="63"/>
      <c r="G12" s="63"/>
    </row>
    <row r="13" spans="1:7" ht="19" customHeight="1" x14ac:dyDescent="0.45">
      <c r="A13" s="63"/>
      <c r="B13" s="66" t="s">
        <v>13</v>
      </c>
      <c r="C13" s="66"/>
      <c r="D13" s="66"/>
      <c r="E13" s="63"/>
      <c r="F13" s="63"/>
      <c r="G13" s="63"/>
    </row>
    <row r="14" spans="1:7" ht="19" customHeight="1" x14ac:dyDescent="0.45">
      <c r="A14" s="63"/>
      <c r="B14" s="10"/>
      <c r="C14" s="63"/>
      <c r="D14" s="63"/>
      <c r="E14" s="63"/>
      <c r="F14" s="63"/>
      <c r="G14" s="63"/>
    </row>
    <row r="15" spans="1:7" ht="19" customHeight="1" x14ac:dyDescent="0.55000000000000004">
      <c r="A15" s="17"/>
    </row>
    <row r="16" spans="1:7" ht="28" customHeight="1" x14ac:dyDescent="0.45">
      <c r="A16" s="10" t="s">
        <v>79</v>
      </c>
      <c r="D16" s="10" t="s">
        <v>2</v>
      </c>
      <c r="E16" s="37"/>
    </row>
    <row r="17" spans="1:8" ht="28" customHeight="1" x14ac:dyDescent="0.45">
      <c r="A17" s="76" t="s">
        <v>3</v>
      </c>
      <c r="B17" s="77"/>
      <c r="C17" s="78"/>
      <c r="D17" s="79" t="s">
        <v>16</v>
      </c>
      <c r="E17" s="37"/>
    </row>
    <row r="18" spans="1:8" ht="28" customHeight="1" x14ac:dyDescent="0.45">
      <c r="A18" s="83" t="s">
        <v>86</v>
      </c>
      <c r="B18" s="77"/>
      <c r="C18" s="78"/>
      <c r="D18" s="80" t="s">
        <v>17</v>
      </c>
      <c r="E18" s="62"/>
      <c r="F18" s="62"/>
      <c r="G18" s="62"/>
    </row>
    <row r="19" spans="1:8" ht="28" customHeight="1" x14ac:dyDescent="0.45">
      <c r="A19" s="83" t="s">
        <v>0</v>
      </c>
      <c r="B19" s="77"/>
      <c r="C19" s="78"/>
      <c r="D19" s="84" t="s">
        <v>77</v>
      </c>
      <c r="E19" s="62"/>
      <c r="F19" s="62"/>
      <c r="G19" s="62"/>
    </row>
    <row r="20" spans="1:8" ht="28" customHeight="1" x14ac:dyDescent="0.45">
      <c r="A20" s="83" t="s">
        <v>87</v>
      </c>
      <c r="B20" s="77"/>
      <c r="C20" s="78"/>
      <c r="D20" s="81"/>
      <c r="E20" s="62"/>
      <c r="F20" s="62"/>
      <c r="G20" s="62"/>
    </row>
    <row r="21" spans="1:8" ht="28" customHeight="1" x14ac:dyDescent="0.45">
      <c r="A21" s="78"/>
      <c r="B21" s="78"/>
      <c r="C21" s="78"/>
      <c r="D21" s="78"/>
    </row>
    <row r="22" spans="1:8" ht="28" customHeight="1" x14ac:dyDescent="0.45">
      <c r="A22" s="76" t="s">
        <v>88</v>
      </c>
      <c r="B22" s="77"/>
      <c r="C22" s="78"/>
      <c r="D22" s="78"/>
      <c r="F22" s="78"/>
    </row>
    <row r="23" spans="1:8" ht="28" customHeight="1" x14ac:dyDescent="0.45">
      <c r="A23" s="76" t="s">
        <v>5</v>
      </c>
      <c r="B23" s="77"/>
      <c r="C23" s="78"/>
      <c r="D23" s="78"/>
    </row>
    <row r="24" spans="1:8" ht="57" customHeight="1" x14ac:dyDescent="0.45">
      <c r="A24" s="82" t="s">
        <v>97</v>
      </c>
      <c r="B24" s="77"/>
      <c r="C24" s="78"/>
      <c r="D24" s="78"/>
    </row>
    <row r="25" spans="1:8" ht="18.5" x14ac:dyDescent="0.45">
      <c r="A25" s="78"/>
      <c r="B25" s="78"/>
      <c r="C25" s="78"/>
      <c r="D25" s="78"/>
    </row>
    <row r="26" spans="1:8" ht="33" customHeight="1" x14ac:dyDescent="0.45">
      <c r="A26" s="10" t="s">
        <v>7</v>
      </c>
      <c r="B26" s="78"/>
      <c r="C26" s="78"/>
      <c r="D26" s="78"/>
    </row>
    <row r="27" spans="1:8" ht="23.15" customHeight="1" x14ac:dyDescent="0.45">
      <c r="A27" s="78" t="s">
        <v>173</v>
      </c>
      <c r="B27" s="78"/>
      <c r="C27" s="78"/>
      <c r="D27" s="78"/>
    </row>
    <row r="28" spans="1:8" ht="23.15" customHeight="1" x14ac:dyDescent="0.45">
      <c r="A28" s="78" t="s">
        <v>178</v>
      </c>
      <c r="B28" s="78"/>
      <c r="C28" s="78"/>
      <c r="D28" s="78"/>
    </row>
    <row r="29" spans="1:8" ht="23.15" customHeight="1" x14ac:dyDescent="0.45">
      <c r="A29" s="78" t="s">
        <v>172</v>
      </c>
    </row>
    <row r="30" spans="1:8" ht="44.15" customHeight="1" x14ac:dyDescent="0.45">
      <c r="A30" s="10" t="s">
        <v>96</v>
      </c>
    </row>
    <row r="31" spans="1:8" ht="55.5" x14ac:dyDescent="0.45">
      <c r="A31" s="122" t="s">
        <v>132</v>
      </c>
      <c r="B31" s="122" t="s">
        <v>133</v>
      </c>
      <c r="C31" s="119"/>
      <c r="D31" s="124" t="s">
        <v>151</v>
      </c>
      <c r="E31" s="120"/>
      <c r="F31" s="148" t="s">
        <v>82</v>
      </c>
      <c r="H31" s="142" t="s">
        <v>152</v>
      </c>
    </row>
    <row r="32" spans="1:8" ht="23.15" customHeight="1" x14ac:dyDescent="0.45">
      <c r="A32" s="123">
        <v>0.25</v>
      </c>
      <c r="B32" s="145">
        <v>14</v>
      </c>
      <c r="C32" s="121"/>
      <c r="D32" s="144">
        <v>25</v>
      </c>
      <c r="E32" s="120"/>
      <c r="F32" s="149">
        <v>3</v>
      </c>
      <c r="H32" s="143">
        <v>1.5</v>
      </c>
    </row>
    <row r="33" spans="1:4" ht="23.15" customHeight="1" x14ac:dyDescent="0.45">
      <c r="A33" s="85"/>
      <c r="B33" s="85"/>
      <c r="C33" s="10"/>
      <c r="D33" s="86"/>
    </row>
    <row r="34" spans="1:4" ht="23.15" customHeight="1" x14ac:dyDescent="0.45">
      <c r="A34" s="87" t="s">
        <v>102</v>
      </c>
      <c r="B34" s="85"/>
      <c r="C34" s="10"/>
      <c r="D34" s="86"/>
    </row>
    <row r="35" spans="1:4" ht="23.15" customHeight="1" x14ac:dyDescent="0.45">
      <c r="A35" s="88" t="s">
        <v>89</v>
      </c>
      <c r="B35" s="85"/>
      <c r="C35" s="10"/>
      <c r="D35" s="86"/>
    </row>
    <row r="36" spans="1:4" ht="58.5" customHeight="1" x14ac:dyDescent="0.45">
      <c r="A36" s="85" t="s">
        <v>162</v>
      </c>
      <c r="B36" s="85"/>
      <c r="C36" s="10"/>
      <c r="D36" s="86"/>
    </row>
    <row r="37" spans="1:4" ht="23.15" customHeight="1" x14ac:dyDescent="0.35">
      <c r="A37" s="95" t="s">
        <v>116</v>
      </c>
      <c r="B37" s="95"/>
      <c r="C37" s="95"/>
      <c r="D37" s="95"/>
    </row>
    <row r="38" spans="1:4" ht="33.65" customHeight="1" x14ac:dyDescent="0.35">
      <c r="A38" s="97" t="s">
        <v>158</v>
      </c>
      <c r="B38" s="97" t="s">
        <v>159</v>
      </c>
      <c r="C38" s="95"/>
      <c r="D38" s="95"/>
    </row>
    <row r="39" spans="1:4" ht="23.15" customHeight="1" x14ac:dyDescent="0.35">
      <c r="A39" s="96">
        <v>0.23</v>
      </c>
      <c r="B39" s="96">
        <v>0.05</v>
      </c>
      <c r="C39" s="95"/>
      <c r="D39" s="95"/>
    </row>
    <row r="40" spans="1:4" ht="23.15" customHeight="1" x14ac:dyDescent="0.35">
      <c r="A40" s="95"/>
      <c r="B40" s="95"/>
      <c r="C40" s="95"/>
      <c r="D40" s="95"/>
    </row>
    <row r="41" spans="1:4" ht="23.15" customHeight="1" x14ac:dyDescent="0.35">
      <c r="A41" s="95" t="s">
        <v>114</v>
      </c>
      <c r="B41" s="95"/>
      <c r="C41" s="95"/>
      <c r="D41" s="95"/>
    </row>
    <row r="42" spans="1:4" ht="32.15" customHeight="1" x14ac:dyDescent="0.35">
      <c r="A42" s="95"/>
      <c r="B42" s="97" t="s">
        <v>158</v>
      </c>
      <c r="C42" s="95"/>
      <c r="D42" s="95"/>
    </row>
    <row r="43" spans="1:4" ht="23.15" customHeight="1" x14ac:dyDescent="0.35">
      <c r="A43" s="96" t="s">
        <v>115</v>
      </c>
      <c r="B43" s="96">
        <v>0.67</v>
      </c>
      <c r="C43" s="95"/>
      <c r="D43" s="95"/>
    </row>
    <row r="44" spans="1:4" ht="23.15" customHeight="1" x14ac:dyDescent="0.35">
      <c r="A44" s="95"/>
      <c r="B44" s="95"/>
      <c r="C44" s="95"/>
      <c r="D44" s="95"/>
    </row>
    <row r="45" spans="1:4" ht="23.15" customHeight="1" x14ac:dyDescent="0.35">
      <c r="A45" s="95" t="s">
        <v>117</v>
      </c>
      <c r="B45" s="95"/>
      <c r="C45" s="95"/>
      <c r="D45" s="95"/>
    </row>
    <row r="46" spans="1:4" ht="39" customHeight="1" x14ac:dyDescent="0.45">
      <c r="A46" s="97" t="s">
        <v>156</v>
      </c>
      <c r="B46" s="97" t="s">
        <v>157</v>
      </c>
      <c r="C46" s="10"/>
    </row>
    <row r="47" spans="1:4" ht="23.15" customHeight="1" x14ac:dyDescent="0.45">
      <c r="A47" s="96">
        <v>51.4</v>
      </c>
      <c r="B47" s="96">
        <v>10.7</v>
      </c>
      <c r="C47" s="10"/>
    </row>
    <row r="48" spans="1:4" ht="23.15" customHeight="1" x14ac:dyDescent="0.45">
      <c r="B48" s="85"/>
      <c r="C48" s="10"/>
      <c r="D48" s="86"/>
    </row>
    <row r="49" spans="1:6" ht="23.15" customHeight="1" x14ac:dyDescent="0.45">
      <c r="A49" s="95"/>
      <c r="B49" s="85"/>
      <c r="C49" s="10"/>
      <c r="D49" s="86"/>
    </row>
    <row r="50" spans="1:6" ht="41.5" customHeight="1" x14ac:dyDescent="0.45">
      <c r="A50" s="95"/>
      <c r="B50" s="97" t="s">
        <v>161</v>
      </c>
      <c r="C50" s="10"/>
      <c r="D50" s="86"/>
    </row>
    <row r="51" spans="1:6" ht="28.5" customHeight="1" x14ac:dyDescent="0.45">
      <c r="A51" s="97" t="s">
        <v>153</v>
      </c>
      <c r="B51" s="97">
        <v>60.6</v>
      </c>
      <c r="C51" s="10"/>
      <c r="D51" s="86"/>
    </row>
    <row r="52" spans="1:6" ht="15.65" customHeight="1" x14ac:dyDescent="0.45">
      <c r="A52" s="95"/>
      <c r="B52" s="85"/>
      <c r="C52" s="10"/>
      <c r="D52" s="86"/>
    </row>
    <row r="54" spans="1:6" ht="39" customHeight="1" x14ac:dyDescent="0.35">
      <c r="B54" s="97" t="s">
        <v>160</v>
      </c>
    </row>
    <row r="55" spans="1:6" ht="24" customHeight="1" x14ac:dyDescent="0.35">
      <c r="A55" s="97" t="s">
        <v>154</v>
      </c>
      <c r="B55" s="97">
        <v>1.73</v>
      </c>
      <c r="D55" s="120" t="s">
        <v>155</v>
      </c>
    </row>
    <row r="56" spans="1:6" ht="51" customHeight="1" x14ac:dyDescent="0.45">
      <c r="A56" s="10" t="s">
        <v>250</v>
      </c>
      <c r="B56" s="12"/>
    </row>
    <row r="57" spans="1:6" ht="51" customHeight="1" x14ac:dyDescent="0.45">
      <c r="A57" s="220" t="s">
        <v>251</v>
      </c>
      <c r="B57" s="221"/>
      <c r="C57" s="221"/>
      <c r="D57" s="221"/>
      <c r="E57" s="221"/>
      <c r="F57" s="221"/>
    </row>
    <row r="59" spans="1:6" ht="18.5" x14ac:dyDescent="0.45">
      <c r="A59" s="10"/>
    </row>
    <row r="61" spans="1:6" ht="18.5" x14ac:dyDescent="0.45">
      <c r="A61" s="10"/>
    </row>
    <row r="63" spans="1:6" ht="18.5" x14ac:dyDescent="0.45">
      <c r="A63" s="10"/>
    </row>
  </sheetData>
  <mergeCells count="8">
    <mergeCell ref="A57:F57"/>
    <mergeCell ref="A4:G4"/>
    <mergeCell ref="B12:D12"/>
    <mergeCell ref="B7:D7"/>
    <mergeCell ref="B8:D8"/>
    <mergeCell ref="B9:D9"/>
    <mergeCell ref="B11:D11"/>
    <mergeCell ref="B10:D10"/>
  </mergeCells>
  <hyperlinks>
    <hyperlink ref="A35" r:id="rId1" xr:uid="{A36F0C95-4BA3-4E72-9E37-8D3B18412C2F}"/>
  </hyperlinks>
  <pageMargins left="0.7" right="0.7" top="0.75" bottom="0.75" header="0.3" footer="0.3"/>
  <pageSetup paperSize="9" orientation="portrait"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501EB-8181-4020-B06B-7EB4788DEFFB}">
  <sheetPr codeName="Sheet3"/>
  <dimension ref="A1:AJ26"/>
  <sheetViews>
    <sheetView topLeftCell="AC1" workbookViewId="0">
      <selection activeCell="AN28" sqref="AN28"/>
    </sheetView>
  </sheetViews>
  <sheetFormatPr defaultRowHeight="14.5" x14ac:dyDescent="0.35"/>
  <cols>
    <col min="1" max="3" width="26.81640625" customWidth="1"/>
    <col min="4" max="4" width="20.81640625" customWidth="1"/>
    <col min="5" max="5" width="26.81640625" customWidth="1"/>
    <col min="6" max="6" width="34.1796875" customWidth="1"/>
    <col min="7" max="7" width="18.81640625" customWidth="1"/>
    <col min="8" max="8" width="16.54296875" customWidth="1"/>
    <col min="9" max="9" width="20" customWidth="1"/>
    <col min="10" max="10" width="25.1796875" customWidth="1"/>
    <col min="11" max="11" width="16.1796875" customWidth="1"/>
    <col min="12" max="12" width="16.54296875" customWidth="1"/>
    <col min="13" max="13" width="18.1796875" customWidth="1"/>
    <col min="14" max="14" width="17.453125" customWidth="1"/>
    <col min="15" max="15" width="17.1796875" customWidth="1"/>
    <col min="16" max="16" width="17.54296875" customWidth="1"/>
    <col min="17" max="17" width="21.81640625" customWidth="1"/>
    <col min="18" max="18" width="19.81640625" customWidth="1"/>
    <col min="19" max="19" width="18.81640625" customWidth="1"/>
    <col min="20" max="20" width="20.453125" customWidth="1"/>
    <col min="21" max="21" width="16.54296875" customWidth="1"/>
    <col min="22" max="22" width="19.7265625" customWidth="1"/>
    <col min="23" max="24" width="22" customWidth="1"/>
    <col min="25" max="25" width="21.54296875" customWidth="1"/>
    <col min="26" max="26" width="16.81640625" customWidth="1"/>
    <col min="27" max="27" width="17.54296875" customWidth="1"/>
    <col min="28" max="28" width="18.453125" customWidth="1"/>
    <col min="29" max="29" width="17.1796875" customWidth="1"/>
    <col min="30" max="30" width="18.453125" customWidth="1"/>
    <col min="31" max="32" width="17.1796875" customWidth="1"/>
    <col min="33" max="33" width="15.54296875" customWidth="1"/>
    <col min="34" max="34" width="15.453125" customWidth="1"/>
    <col min="35" max="35" width="15.81640625" customWidth="1"/>
  </cols>
  <sheetData>
    <row r="1" spans="1:36" ht="26.15" customHeight="1" x14ac:dyDescent="0.45">
      <c r="A1" s="9" t="s">
        <v>4</v>
      </c>
    </row>
    <row r="2" spans="1:36" ht="18.5" x14ac:dyDescent="0.45">
      <c r="E2" s="1" t="s">
        <v>12</v>
      </c>
      <c r="G2" s="1"/>
      <c r="H2" s="56"/>
    </row>
    <row r="3" spans="1:36" x14ac:dyDescent="0.35">
      <c r="E3" t="s">
        <v>98</v>
      </c>
    </row>
    <row r="4" spans="1:36" ht="18.5" x14ac:dyDescent="0.45">
      <c r="E4" s="56" t="s">
        <v>168</v>
      </c>
      <c r="G4" s="56"/>
    </row>
    <row r="5" spans="1:36" ht="15" thickBot="1" x14ac:dyDescent="0.4"/>
    <row r="6" spans="1:36" s="37" customFormat="1" ht="28.5" customHeight="1" thickBot="1" x14ac:dyDescent="0.4">
      <c r="E6" s="230" t="s">
        <v>32</v>
      </c>
      <c r="F6" s="231"/>
      <c r="G6" s="231"/>
      <c r="H6" s="231"/>
      <c r="I6" s="231"/>
      <c r="J6" s="231"/>
      <c r="K6" s="231"/>
      <c r="L6" s="231"/>
      <c r="M6" s="231"/>
      <c r="N6" s="231"/>
      <c r="O6" s="231"/>
      <c r="P6" s="231"/>
      <c r="Q6" s="232"/>
      <c r="R6" s="227" t="s">
        <v>33</v>
      </c>
      <c r="S6" s="228"/>
      <c r="T6" s="228"/>
      <c r="U6" s="228"/>
      <c r="V6" s="228"/>
      <c r="W6" s="228"/>
      <c r="X6" s="228"/>
      <c r="Y6" s="228"/>
      <c r="Z6" s="228"/>
      <c r="AA6" s="228"/>
      <c r="AB6" s="228"/>
      <c r="AC6" s="228"/>
      <c r="AD6" s="229"/>
      <c r="AE6" s="224" t="s">
        <v>38</v>
      </c>
      <c r="AF6" s="225"/>
      <c r="AG6" s="225"/>
      <c r="AH6" s="225"/>
      <c r="AI6" s="226"/>
      <c r="AJ6"/>
    </row>
    <row r="7" spans="1:36" s="20" customFormat="1" ht="60.65" customHeight="1" x14ac:dyDescent="0.4">
      <c r="A7" s="25" t="s">
        <v>61</v>
      </c>
      <c r="B7" s="26" t="s">
        <v>5</v>
      </c>
      <c r="C7" s="26" t="s">
        <v>6</v>
      </c>
      <c r="D7" s="27" t="s">
        <v>119</v>
      </c>
      <c r="E7" s="52" t="s">
        <v>69</v>
      </c>
      <c r="F7" s="28" t="s">
        <v>55</v>
      </c>
      <c r="G7" s="29" t="s">
        <v>18</v>
      </c>
      <c r="H7" s="29" t="s">
        <v>248</v>
      </c>
      <c r="I7" s="29" t="s">
        <v>244</v>
      </c>
      <c r="J7" s="29" t="s">
        <v>196</v>
      </c>
      <c r="K7" s="29" t="s">
        <v>202</v>
      </c>
      <c r="L7" s="29" t="s">
        <v>247</v>
      </c>
      <c r="M7" s="29" t="s">
        <v>203</v>
      </c>
      <c r="N7" s="29" t="s">
        <v>118</v>
      </c>
      <c r="O7" s="29" t="s">
        <v>58</v>
      </c>
      <c r="P7" s="30" t="s">
        <v>120</v>
      </c>
      <c r="Q7" s="31" t="s">
        <v>121</v>
      </c>
      <c r="R7" s="22" t="s">
        <v>43</v>
      </c>
      <c r="S7" s="28" t="s">
        <v>31</v>
      </c>
      <c r="T7" s="29" t="s">
        <v>18</v>
      </c>
      <c r="U7" s="29" t="s">
        <v>248</v>
      </c>
      <c r="V7" s="29" t="s">
        <v>244</v>
      </c>
      <c r="W7" s="29" t="s">
        <v>196</v>
      </c>
      <c r="X7" s="29" t="s">
        <v>202</v>
      </c>
      <c r="Y7" s="29" t="s">
        <v>247</v>
      </c>
      <c r="Z7" s="29" t="s">
        <v>203</v>
      </c>
      <c r="AA7" s="29" t="s">
        <v>118</v>
      </c>
      <c r="AB7" s="29" t="s">
        <v>58</v>
      </c>
      <c r="AC7" s="30" t="s">
        <v>120</v>
      </c>
      <c r="AD7" s="159" t="s">
        <v>121</v>
      </c>
      <c r="AE7" s="29" t="s">
        <v>196</v>
      </c>
      <c r="AF7" s="29" t="s">
        <v>34</v>
      </c>
      <c r="AG7" s="29" t="s">
        <v>41</v>
      </c>
      <c r="AH7" s="30" t="s">
        <v>120</v>
      </c>
      <c r="AI7" s="31" t="s">
        <v>121</v>
      </c>
    </row>
    <row r="8" spans="1:36" s="37" customFormat="1" x14ac:dyDescent="0.35">
      <c r="A8" s="58" t="s">
        <v>35</v>
      </c>
      <c r="B8" s="59" t="s">
        <v>19</v>
      </c>
      <c r="C8" s="59" t="s">
        <v>20</v>
      </c>
      <c r="D8" s="60">
        <v>500</v>
      </c>
      <c r="E8" s="100" t="s">
        <v>44</v>
      </c>
      <c r="F8" s="90" t="s">
        <v>21</v>
      </c>
      <c r="G8" s="44" t="s">
        <v>1</v>
      </c>
      <c r="H8" s="44">
        <v>100</v>
      </c>
      <c r="I8" s="44">
        <v>68</v>
      </c>
      <c r="J8" s="105">
        <f>H8*I8/(0.95*1000)</f>
        <v>7.1578947368421053</v>
      </c>
      <c r="K8" s="105">
        <f>H8*I8/D8</f>
        <v>13.6</v>
      </c>
      <c r="L8" s="215">
        <v>1</v>
      </c>
      <c r="M8" s="44">
        <v>8</v>
      </c>
      <c r="N8" s="44">
        <v>365</v>
      </c>
      <c r="O8" s="44">
        <f>H8*I8*L8*M8*N8/1000</f>
        <v>19856</v>
      </c>
      <c r="P8" s="106">
        <f>Overview!$A$39*O8</f>
        <v>4566.88</v>
      </c>
      <c r="Q8" s="98">
        <f>Overview!$B$39*O8</f>
        <v>992.80000000000007</v>
      </c>
      <c r="R8" s="89" t="s">
        <v>44</v>
      </c>
      <c r="S8" s="91" t="s">
        <v>22</v>
      </c>
      <c r="T8" s="42" t="s">
        <v>42</v>
      </c>
      <c r="U8" s="42">
        <v>90</v>
      </c>
      <c r="V8" s="42">
        <v>40</v>
      </c>
      <c r="W8" s="109">
        <f>U8*V8/(0.95*1000)</f>
        <v>3.7894736842105261</v>
      </c>
      <c r="X8" s="42">
        <f>U8*V8/D8</f>
        <v>7.2</v>
      </c>
      <c r="Y8" s="213">
        <v>0.75</v>
      </c>
      <c r="Z8" s="42">
        <v>8</v>
      </c>
      <c r="AA8" s="42">
        <v>365</v>
      </c>
      <c r="AB8" s="42">
        <f>U8*V8*Y8*Z8*AA8/1000</f>
        <v>7884</v>
      </c>
      <c r="AC8" s="107">
        <f>Overview!$A$39*AB8</f>
        <v>1813.3200000000002</v>
      </c>
      <c r="AD8" s="160">
        <f>Overview!$B$39*AB8</f>
        <v>394.20000000000005</v>
      </c>
      <c r="AE8" s="92">
        <f>J8-W8</f>
        <v>3.3684210526315792</v>
      </c>
      <c r="AF8" s="216">
        <f>K8-X8</f>
        <v>6.3999999999999995</v>
      </c>
      <c r="AG8" s="64">
        <f>O8-AB8</f>
        <v>11972</v>
      </c>
      <c r="AH8" s="108">
        <f>P8-AC8</f>
        <v>2753.56</v>
      </c>
      <c r="AI8" s="112">
        <f>Q8-AD8</f>
        <v>598.6</v>
      </c>
    </row>
    <row r="9" spans="1:36" s="37" customFormat="1" x14ac:dyDescent="0.35">
      <c r="A9" s="58" t="s">
        <v>36</v>
      </c>
      <c r="B9" s="59" t="s">
        <v>19</v>
      </c>
      <c r="C9" s="59" t="s">
        <v>23</v>
      </c>
      <c r="D9" s="60">
        <v>500</v>
      </c>
      <c r="E9" s="100" t="s">
        <v>47</v>
      </c>
      <c r="F9" s="90" t="s">
        <v>24</v>
      </c>
      <c r="G9" s="44" t="s">
        <v>1</v>
      </c>
      <c r="H9" s="44">
        <v>10</v>
      </c>
      <c r="I9" s="44">
        <v>65</v>
      </c>
      <c r="J9" s="105">
        <f t="shared" ref="J9:J10" si="0">H9*I9/(0.95*1000)</f>
        <v>0.68421052631578949</v>
      </c>
      <c r="K9" s="105">
        <f>H9*I9/D9</f>
        <v>1.3</v>
      </c>
      <c r="L9" s="215">
        <v>1</v>
      </c>
      <c r="M9" s="44">
        <v>8</v>
      </c>
      <c r="N9" s="44">
        <v>365</v>
      </c>
      <c r="O9" s="44">
        <f t="shared" ref="O9:O10" si="1">H9*I9*L9*M9*N9/1000</f>
        <v>1898</v>
      </c>
      <c r="P9" s="106">
        <f>Overview!$A$39*O9</f>
        <v>436.54</v>
      </c>
      <c r="Q9" s="98">
        <f>Overview!$B$39*O9</f>
        <v>94.9</v>
      </c>
      <c r="R9" s="89" t="s">
        <v>44</v>
      </c>
      <c r="S9" s="91" t="s">
        <v>25</v>
      </c>
      <c r="T9" s="42" t="s">
        <v>26</v>
      </c>
      <c r="U9" s="42">
        <v>10</v>
      </c>
      <c r="V9" s="42">
        <v>15</v>
      </c>
      <c r="W9" s="109">
        <f t="shared" ref="W9:W10" si="2">U9*V9/(0.95*1000)</f>
        <v>0.15789473684210525</v>
      </c>
      <c r="X9" s="42">
        <f>U9*V9/D9</f>
        <v>0.3</v>
      </c>
      <c r="Y9" s="213">
        <v>0.75</v>
      </c>
      <c r="Z9" s="42">
        <v>8</v>
      </c>
      <c r="AA9" s="42">
        <v>365</v>
      </c>
      <c r="AB9" s="42">
        <f t="shared" ref="AB9:AB10" si="3">U9*V9*Y9*Z9*AA9/1000</f>
        <v>328.5</v>
      </c>
      <c r="AC9" s="107">
        <f>Overview!$A$39*AB9</f>
        <v>75.555000000000007</v>
      </c>
      <c r="AD9" s="160">
        <f>Overview!$B$39*AB9</f>
        <v>16.425000000000001</v>
      </c>
      <c r="AE9" s="92">
        <f>J9-W9</f>
        <v>0.52631578947368429</v>
      </c>
      <c r="AF9" s="216">
        <f>K9-X9</f>
        <v>1</v>
      </c>
      <c r="AG9" s="64">
        <f t="shared" ref="AG9" si="4">O9-AB9</f>
        <v>1569.5</v>
      </c>
      <c r="AH9" s="108">
        <f t="shared" ref="AH9" si="5">P9-AC9</f>
        <v>360.98500000000001</v>
      </c>
      <c r="AI9" s="112">
        <f t="shared" ref="AI9" si="6">Q9-AD9</f>
        <v>78.475000000000009</v>
      </c>
    </row>
    <row r="10" spans="1:36" s="37" customFormat="1" x14ac:dyDescent="0.35">
      <c r="A10" s="58" t="s">
        <v>37</v>
      </c>
      <c r="B10" s="59" t="s">
        <v>19</v>
      </c>
      <c r="C10" s="59" t="s">
        <v>27</v>
      </c>
      <c r="D10" s="60">
        <v>0</v>
      </c>
      <c r="E10" s="100" t="s">
        <v>218</v>
      </c>
      <c r="F10" s="90" t="s">
        <v>39</v>
      </c>
      <c r="G10" s="44" t="s">
        <v>40</v>
      </c>
      <c r="H10" s="44">
        <v>100</v>
      </c>
      <c r="I10" s="44">
        <v>150</v>
      </c>
      <c r="J10" s="105">
        <f t="shared" si="0"/>
        <v>15.789473684210526</v>
      </c>
      <c r="K10" s="182" t="s">
        <v>28</v>
      </c>
      <c r="L10" s="215">
        <v>0.75</v>
      </c>
      <c r="M10" s="44">
        <v>8</v>
      </c>
      <c r="N10" s="44">
        <v>365</v>
      </c>
      <c r="O10" s="44">
        <f t="shared" si="1"/>
        <v>32850</v>
      </c>
      <c r="P10" s="106">
        <f>Overview!$A$39*O10</f>
        <v>7555.5</v>
      </c>
      <c r="Q10" s="98">
        <f>Overview!$B$39*O10</f>
        <v>1642.5</v>
      </c>
      <c r="R10" s="89" t="s">
        <v>189</v>
      </c>
      <c r="S10" s="91" t="s">
        <v>29</v>
      </c>
      <c r="T10" s="42" t="s">
        <v>30</v>
      </c>
      <c r="U10" s="42">
        <v>100</v>
      </c>
      <c r="V10" s="42">
        <v>50</v>
      </c>
      <c r="W10" s="109">
        <f t="shared" si="2"/>
        <v>5.2631578947368425</v>
      </c>
      <c r="X10" s="179" t="s">
        <v>28</v>
      </c>
      <c r="Y10" s="214">
        <v>0.5</v>
      </c>
      <c r="Z10" s="42">
        <v>8</v>
      </c>
      <c r="AA10" s="42">
        <v>365</v>
      </c>
      <c r="AB10" s="42">
        <f t="shared" si="3"/>
        <v>7300</v>
      </c>
      <c r="AC10" s="107">
        <f>Overview!$A$39*AB10</f>
        <v>1679</v>
      </c>
      <c r="AD10" s="160">
        <f>Overview!$B$39*AB10</f>
        <v>365</v>
      </c>
      <c r="AE10" s="92">
        <f>J10-W10</f>
        <v>10.526315789473683</v>
      </c>
      <c r="AF10" s="181" t="s">
        <v>28</v>
      </c>
      <c r="AG10" s="64">
        <f t="shared" ref="AG10" si="7">O10-AB10</f>
        <v>25550</v>
      </c>
      <c r="AH10" s="108">
        <f t="shared" ref="AH10" si="8">P10-AC10</f>
        <v>5876.5</v>
      </c>
      <c r="AI10" s="112">
        <f t="shared" ref="AI10" si="9">Q10-AD10</f>
        <v>1277.5</v>
      </c>
    </row>
    <row r="11" spans="1:36" x14ac:dyDescent="0.35">
      <c r="A11" s="23"/>
      <c r="B11" s="2"/>
      <c r="C11" s="2"/>
      <c r="D11" s="14"/>
      <c r="E11" s="101"/>
      <c r="F11" s="23"/>
      <c r="G11" s="2"/>
      <c r="H11" s="2"/>
      <c r="I11" s="2"/>
      <c r="J11" s="2"/>
      <c r="K11" s="2"/>
      <c r="L11" s="2"/>
      <c r="M11" s="2"/>
      <c r="N11" s="2"/>
      <c r="O11" s="2"/>
      <c r="P11" s="2"/>
      <c r="Q11" s="14"/>
      <c r="R11" s="19"/>
      <c r="S11" s="23"/>
      <c r="T11" s="2"/>
      <c r="U11" s="2"/>
      <c r="V11" s="2"/>
      <c r="W11" s="2"/>
      <c r="X11" s="2"/>
      <c r="Y11" s="2"/>
      <c r="Z11" s="2"/>
      <c r="AA11" s="2"/>
      <c r="AB11" s="2"/>
      <c r="AC11" s="2"/>
      <c r="AD11" s="13"/>
      <c r="AE11" s="23"/>
      <c r="AF11" s="156"/>
      <c r="AG11" s="2"/>
      <c r="AH11" s="2"/>
      <c r="AI11" s="14"/>
    </row>
    <row r="12" spans="1:36" x14ac:dyDescent="0.35">
      <c r="A12" s="23"/>
      <c r="B12" s="2"/>
      <c r="C12" s="2"/>
      <c r="D12" s="14"/>
      <c r="E12" s="101"/>
      <c r="F12" s="23"/>
      <c r="G12" s="2"/>
      <c r="H12" s="2"/>
      <c r="I12" s="2"/>
      <c r="J12" s="2"/>
      <c r="K12" s="2"/>
      <c r="L12" s="2"/>
      <c r="M12" s="2"/>
      <c r="N12" s="2"/>
      <c r="O12" s="2"/>
      <c r="P12" s="2"/>
      <c r="Q12" s="14"/>
      <c r="R12" s="19"/>
      <c r="S12" s="23"/>
      <c r="T12" s="2"/>
      <c r="U12" s="2"/>
      <c r="V12" s="2"/>
      <c r="W12" s="2"/>
      <c r="X12" s="2"/>
      <c r="Y12" s="2"/>
      <c r="Z12" s="2"/>
      <c r="AA12" s="2"/>
      <c r="AB12" s="2"/>
      <c r="AC12" s="2"/>
      <c r="AD12" s="13"/>
      <c r="AE12" s="23"/>
      <c r="AF12" s="156"/>
      <c r="AG12" s="2"/>
      <c r="AH12" s="2"/>
      <c r="AI12" s="14"/>
    </row>
    <row r="13" spans="1:36" x14ac:dyDescent="0.35">
      <c r="A13" s="23"/>
      <c r="B13" s="2"/>
      <c r="C13" s="2"/>
      <c r="D13" s="14"/>
      <c r="E13" s="101"/>
      <c r="F13" s="23"/>
      <c r="G13" s="2"/>
      <c r="H13" s="2"/>
      <c r="I13" s="2"/>
      <c r="J13" s="2"/>
      <c r="K13" s="2"/>
      <c r="L13" s="2"/>
      <c r="M13" s="2"/>
      <c r="N13" s="2"/>
      <c r="O13" s="2"/>
      <c r="P13" s="2"/>
      <c r="Q13" s="14"/>
      <c r="R13" s="19"/>
      <c r="S13" s="23"/>
      <c r="T13" s="2"/>
      <c r="U13" s="2"/>
      <c r="V13" s="2"/>
      <c r="W13" s="2"/>
      <c r="X13" s="2"/>
      <c r="Y13" s="2"/>
      <c r="Z13" s="2"/>
      <c r="AA13" s="2"/>
      <c r="AB13" s="2"/>
      <c r="AC13" s="2"/>
      <c r="AD13" s="13"/>
      <c r="AE13" s="23"/>
      <c r="AF13" s="156"/>
      <c r="AG13" s="2"/>
      <c r="AH13" s="2"/>
      <c r="AI13" s="14"/>
    </row>
    <row r="14" spans="1:36" x14ac:dyDescent="0.35">
      <c r="A14" s="23"/>
      <c r="B14" s="2"/>
      <c r="C14" s="2"/>
      <c r="D14" s="14"/>
      <c r="E14" s="101"/>
      <c r="F14" s="23"/>
      <c r="G14" s="2"/>
      <c r="H14" s="2"/>
      <c r="I14" s="2"/>
      <c r="J14" s="2"/>
      <c r="K14" s="2"/>
      <c r="L14" s="2"/>
      <c r="M14" s="2"/>
      <c r="N14" s="2"/>
      <c r="O14" s="2"/>
      <c r="P14" s="2"/>
      <c r="Q14" s="14"/>
      <c r="R14" s="19"/>
      <c r="S14" s="23"/>
      <c r="T14" s="2"/>
      <c r="U14" s="2"/>
      <c r="V14" s="2"/>
      <c r="W14" s="2"/>
      <c r="X14" s="2"/>
      <c r="Y14" s="2"/>
      <c r="Z14" s="2"/>
      <c r="AA14" s="2"/>
      <c r="AB14" s="2"/>
      <c r="AC14" s="2"/>
      <c r="AD14" s="13"/>
      <c r="AE14" s="23"/>
      <c r="AF14" s="156"/>
      <c r="AG14" s="2"/>
      <c r="AH14" s="2"/>
      <c r="AI14" s="14"/>
    </row>
    <row r="15" spans="1:36" ht="15" thickBot="1" x14ac:dyDescent="0.4">
      <c r="A15" s="102"/>
      <c r="B15" s="103"/>
      <c r="C15" s="103"/>
      <c r="D15" s="104"/>
      <c r="E15" s="101"/>
      <c r="F15" s="24"/>
      <c r="G15" s="15"/>
      <c r="H15" s="15"/>
      <c r="I15" s="15"/>
      <c r="J15" s="15"/>
      <c r="K15" s="15"/>
      <c r="L15" s="15"/>
      <c r="M15" s="15"/>
      <c r="N15" s="15"/>
      <c r="O15" s="15"/>
      <c r="P15" s="15"/>
      <c r="Q15" s="16"/>
      <c r="R15" s="19"/>
      <c r="S15" s="24"/>
      <c r="T15" s="15"/>
      <c r="U15" s="15"/>
      <c r="V15" s="15"/>
      <c r="W15" s="15"/>
      <c r="X15" s="15"/>
      <c r="Y15" s="15"/>
      <c r="Z15" s="15"/>
      <c r="AA15" s="15"/>
      <c r="AB15" s="15"/>
      <c r="AC15" s="15"/>
      <c r="AD15" s="161"/>
      <c r="AE15" s="24"/>
      <c r="AF15" s="162"/>
      <c r="AG15" s="15"/>
      <c r="AH15" s="15"/>
      <c r="AI15" s="16"/>
    </row>
    <row r="16" spans="1:36" ht="15" thickBot="1" x14ac:dyDescent="0.4">
      <c r="A16" s="35" t="s">
        <v>52</v>
      </c>
      <c r="B16" s="34"/>
      <c r="C16" s="34"/>
      <c r="D16" s="34"/>
      <c r="E16" s="34"/>
      <c r="F16" s="34"/>
      <c r="G16" s="34"/>
      <c r="H16" s="34"/>
      <c r="I16" s="34"/>
      <c r="J16" s="35"/>
      <c r="K16" s="35"/>
      <c r="L16" s="34"/>
      <c r="M16" s="34"/>
      <c r="N16" s="35"/>
      <c r="O16" s="35"/>
      <c r="P16" s="35"/>
      <c r="Q16" s="35"/>
      <c r="R16" s="34"/>
      <c r="S16" s="34"/>
      <c r="T16" s="34"/>
      <c r="U16" s="34"/>
      <c r="V16" s="34"/>
      <c r="W16" s="34"/>
      <c r="X16" s="34"/>
      <c r="Y16" s="34"/>
      <c r="Z16" s="34"/>
      <c r="AA16" s="34"/>
      <c r="AB16" s="34"/>
      <c r="AC16" s="34"/>
      <c r="AD16" s="34"/>
      <c r="AE16" s="217">
        <f>SUM(AE8:AE15)</f>
        <v>14.421052631578947</v>
      </c>
      <c r="AF16" s="217">
        <f>SUM(AF8:AF15)</f>
        <v>7.3999999999999995</v>
      </c>
      <c r="AG16" s="217">
        <f>SUM(AG8:AG15)</f>
        <v>39091.5</v>
      </c>
      <c r="AH16" s="217">
        <f t="shared" ref="AH16:AI16" si="10">SUM(AH8:AH15)</f>
        <v>8991.0450000000001</v>
      </c>
      <c r="AI16" s="217">
        <f t="shared" si="10"/>
        <v>1954.575</v>
      </c>
    </row>
    <row r="17" spans="1:33" ht="15" thickTop="1" x14ac:dyDescent="0.35">
      <c r="A17" s="1"/>
      <c r="I17" s="1"/>
      <c r="J17" s="1"/>
      <c r="M17" s="1"/>
      <c r="N17" s="1"/>
      <c r="O17" s="1"/>
      <c r="P17" s="1"/>
      <c r="AC17" s="1"/>
      <c r="AD17" s="1"/>
      <c r="AE17" s="1"/>
      <c r="AF17" s="1"/>
      <c r="AG17" s="1"/>
    </row>
    <row r="18" spans="1:33" x14ac:dyDescent="0.35">
      <c r="A18" s="223" t="s">
        <v>99</v>
      </c>
      <c r="B18" s="223"/>
      <c r="C18" s="223"/>
      <c r="D18" s="223"/>
      <c r="E18" s="223"/>
      <c r="F18" s="223"/>
      <c r="M18" s="1"/>
      <c r="N18" s="1"/>
      <c r="O18" s="1"/>
      <c r="P18" s="1"/>
    </row>
    <row r="19" spans="1:33" x14ac:dyDescent="0.35">
      <c r="A19" s="223"/>
      <c r="B19" s="223"/>
      <c r="C19" s="223"/>
      <c r="D19" s="223"/>
      <c r="E19" s="223"/>
      <c r="F19" s="223"/>
    </row>
    <row r="20" spans="1:33" ht="42.65" customHeight="1" x14ac:dyDescent="0.4">
      <c r="A20" s="67" t="s">
        <v>198</v>
      </c>
      <c r="B20" s="67" t="s">
        <v>199</v>
      </c>
      <c r="C20" s="70" t="s">
        <v>197</v>
      </c>
      <c r="D20" s="110" t="s">
        <v>200</v>
      </c>
      <c r="E20" s="111" t="s">
        <v>201</v>
      </c>
      <c r="F20" s="165" t="s">
        <v>67</v>
      </c>
      <c r="G20" s="93" t="s">
        <v>111</v>
      </c>
      <c r="H20" s="69" t="s">
        <v>101</v>
      </c>
    </row>
    <row r="21" spans="1:33" ht="26.5" customHeight="1" x14ac:dyDescent="0.35">
      <c r="A21" s="158">
        <f>AG16</f>
        <v>39091.5</v>
      </c>
      <c r="B21" s="157">
        <f>AE16</f>
        <v>14.421052631578947</v>
      </c>
      <c r="C21" s="135">
        <f>A21*Overview!$A$32+B21*Overview!$B$32</f>
        <v>9974.769736842105</v>
      </c>
      <c r="D21" s="158">
        <f>AH16</f>
        <v>8991.0450000000001</v>
      </c>
      <c r="E21" s="158">
        <f>AI16</f>
        <v>1954.575</v>
      </c>
      <c r="F21" s="135"/>
      <c r="G21" s="158">
        <f>IFERROR(F21/B21,0)</f>
        <v>0</v>
      </c>
      <c r="H21" s="2"/>
    </row>
    <row r="26" spans="1:33" x14ac:dyDescent="0.35">
      <c r="AA26" t="s">
        <v>243</v>
      </c>
    </row>
  </sheetData>
  <mergeCells count="4">
    <mergeCell ref="A18:F19"/>
    <mergeCell ref="AE6:AI6"/>
    <mergeCell ref="R6:AD6"/>
    <mergeCell ref="E6:Q6"/>
  </mergeCells>
  <phoneticPr fontId="3" type="noConversion"/>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8430C7F3-6BCC-4C96-9A44-8440E0EDE3DA}">
          <x14:formula1>
            <xm:f>'Data Base'!#REF!</xm:f>
          </x14:formula1>
          <xm:sqref>A2:A4</xm:sqref>
        </x14:dataValidation>
        <x14:dataValidation type="list" allowBlank="1" showInputMessage="1" showErrorMessage="1" xr:uid="{B17FE084-86F8-4461-9315-C1026EB422B8}">
          <x14:formula1>
            <xm:f>'Data Base'!$B$4:$B$18</xm:f>
          </x14:formula1>
          <xm:sqref>R8:R15 E8:E15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21E78-29CC-4F83-A019-A9DE6CFDC8EA}">
  <sheetPr codeName="Sheet7"/>
  <dimension ref="A1:AG39"/>
  <sheetViews>
    <sheetView workbookViewId="0">
      <selection activeCell="D25" sqref="D25"/>
    </sheetView>
  </sheetViews>
  <sheetFormatPr defaultRowHeight="14.5" x14ac:dyDescent="0.35"/>
  <cols>
    <col min="1" max="3" width="28.54296875" customWidth="1"/>
    <col min="4" max="4" width="20.1796875" customWidth="1"/>
    <col min="5" max="7" width="22.54296875" customWidth="1"/>
    <col min="8" max="8" width="25.1796875" customWidth="1"/>
    <col min="9" max="9" width="19.453125" customWidth="1"/>
    <col min="10" max="10" width="20.1796875" customWidth="1"/>
    <col min="11" max="11" width="18.1796875" customWidth="1"/>
    <col min="12" max="13" width="14.81640625" customWidth="1"/>
    <col min="14" max="14" width="14.54296875" customWidth="1"/>
    <col min="15" max="15" width="15.453125" customWidth="1"/>
    <col min="16" max="16" width="23.54296875" customWidth="1"/>
    <col min="17" max="18" width="18" customWidth="1"/>
    <col min="19" max="19" width="26.26953125" customWidth="1"/>
    <col min="20" max="20" width="20.81640625" customWidth="1"/>
    <col min="21" max="21" width="20.1796875" customWidth="1"/>
    <col min="22" max="22" width="18.453125" customWidth="1"/>
    <col min="23" max="23" width="15.453125" customWidth="1"/>
    <col min="24" max="26" width="14.81640625" customWidth="1"/>
    <col min="27" max="27" width="12.81640625" customWidth="1"/>
    <col min="28" max="28" width="13.81640625" customWidth="1"/>
    <col min="29" max="29" width="14.453125" customWidth="1"/>
    <col min="30" max="30" width="14.7265625" customWidth="1"/>
    <col min="31" max="31" width="16.1796875" customWidth="1"/>
    <col min="32" max="32" width="15" customWidth="1"/>
    <col min="33" max="33" width="13.54296875" customWidth="1"/>
    <col min="34" max="34" width="11.453125" customWidth="1"/>
    <col min="35" max="36" width="15.81640625" customWidth="1"/>
    <col min="37" max="38" width="14.81640625" customWidth="1"/>
    <col min="39" max="39" width="16.81640625" customWidth="1"/>
    <col min="40" max="40" width="13.1796875" customWidth="1"/>
  </cols>
  <sheetData>
    <row r="1" spans="1:33" ht="26.15" customHeight="1" x14ac:dyDescent="0.45">
      <c r="A1" s="10" t="s">
        <v>8</v>
      </c>
    </row>
    <row r="2" spans="1:33" x14ac:dyDescent="0.35">
      <c r="E2" s="1" t="s">
        <v>12</v>
      </c>
    </row>
    <row r="3" spans="1:33" x14ac:dyDescent="0.35">
      <c r="E3" t="s">
        <v>98</v>
      </c>
    </row>
    <row r="4" spans="1:33" ht="18.5" x14ac:dyDescent="0.45">
      <c r="E4" s="56" t="s">
        <v>168</v>
      </c>
      <c r="F4" s="56"/>
      <c r="G4" s="56"/>
    </row>
    <row r="6" spans="1:33" ht="15" thickBot="1" x14ac:dyDescent="0.4">
      <c r="A6" s="3"/>
      <c r="B6" s="3"/>
    </row>
    <row r="7" spans="1:33" ht="24" customHeight="1" thickBot="1" x14ac:dyDescent="0.4">
      <c r="E7" s="239" t="s">
        <v>32</v>
      </c>
      <c r="F7" s="240"/>
      <c r="G7" s="240"/>
      <c r="H7" s="240"/>
      <c r="I7" s="240"/>
      <c r="J7" s="240"/>
      <c r="K7" s="240"/>
      <c r="L7" s="240"/>
      <c r="M7" s="240"/>
      <c r="N7" s="240"/>
      <c r="O7" s="241"/>
      <c r="P7" s="236" t="s">
        <v>33</v>
      </c>
      <c r="Q7" s="237"/>
      <c r="R7" s="237"/>
      <c r="S7" s="237"/>
      <c r="T7" s="237"/>
      <c r="U7" s="237"/>
      <c r="V7" s="237"/>
      <c r="W7" s="237"/>
      <c r="X7" s="237"/>
      <c r="Y7" s="237"/>
      <c r="Z7" s="238"/>
      <c r="AA7" s="233" t="s">
        <v>38</v>
      </c>
      <c r="AB7" s="234"/>
      <c r="AC7" s="234"/>
      <c r="AD7" s="234"/>
      <c r="AE7" s="234"/>
      <c r="AF7" s="234"/>
      <c r="AG7" s="235"/>
    </row>
    <row r="8" spans="1:33" ht="57" customHeight="1" x14ac:dyDescent="0.4">
      <c r="A8" s="6" t="s">
        <v>61</v>
      </c>
      <c r="B8" s="6" t="s">
        <v>5</v>
      </c>
      <c r="C8" s="6" t="s">
        <v>127</v>
      </c>
      <c r="D8" s="6" t="s">
        <v>128</v>
      </c>
      <c r="E8" s="29" t="s">
        <v>56</v>
      </c>
      <c r="F8" s="73" t="s">
        <v>90</v>
      </c>
      <c r="G8" s="73" t="s">
        <v>92</v>
      </c>
      <c r="H8" s="29" t="s">
        <v>196</v>
      </c>
      <c r="I8" s="29" t="s">
        <v>180</v>
      </c>
      <c r="J8" s="38" t="s">
        <v>181</v>
      </c>
      <c r="K8" s="38" t="s">
        <v>182</v>
      </c>
      <c r="L8" s="29" t="s">
        <v>125</v>
      </c>
      <c r="M8" s="29" t="s">
        <v>126</v>
      </c>
      <c r="N8" s="29" t="s">
        <v>123</v>
      </c>
      <c r="O8" s="136" t="s">
        <v>124</v>
      </c>
      <c r="P8" s="28" t="s">
        <v>56</v>
      </c>
      <c r="Q8" s="73" t="s">
        <v>90</v>
      </c>
      <c r="R8" s="73" t="s">
        <v>92</v>
      </c>
      <c r="S8" s="29" t="s">
        <v>196</v>
      </c>
      <c r="T8" s="29" t="s">
        <v>180</v>
      </c>
      <c r="U8" s="38" t="s">
        <v>181</v>
      </c>
      <c r="V8" s="38" t="s">
        <v>182</v>
      </c>
      <c r="W8" s="29" t="s">
        <v>125</v>
      </c>
      <c r="X8" s="29" t="s">
        <v>126</v>
      </c>
      <c r="Y8" s="29" t="s">
        <v>123</v>
      </c>
      <c r="Z8" s="147" t="s">
        <v>124</v>
      </c>
      <c r="AA8" s="28" t="s">
        <v>134</v>
      </c>
      <c r="AB8" s="29" t="s">
        <v>130</v>
      </c>
      <c r="AC8" s="29" t="s">
        <v>131</v>
      </c>
      <c r="AD8" s="29" t="s">
        <v>125</v>
      </c>
      <c r="AE8" s="29" t="s">
        <v>126</v>
      </c>
      <c r="AF8" s="29" t="s">
        <v>123</v>
      </c>
      <c r="AG8" s="147" t="s">
        <v>124</v>
      </c>
    </row>
    <row r="9" spans="1:33" s="37" customFormat="1" ht="29.15" customHeight="1" x14ac:dyDescent="0.35">
      <c r="A9" s="58" t="s">
        <v>53</v>
      </c>
      <c r="B9" s="59" t="s">
        <v>19</v>
      </c>
      <c r="C9" s="61" t="s">
        <v>54</v>
      </c>
      <c r="D9" s="61">
        <v>6000</v>
      </c>
      <c r="E9" s="43" t="s">
        <v>57</v>
      </c>
      <c r="F9" s="72" t="s">
        <v>91</v>
      </c>
      <c r="G9" s="72">
        <v>1810</v>
      </c>
      <c r="H9" s="44">
        <v>240</v>
      </c>
      <c r="I9" s="44">
        <v>2500</v>
      </c>
      <c r="J9" s="45">
        <v>150000</v>
      </c>
      <c r="K9" s="44">
        <v>0</v>
      </c>
      <c r="L9" s="44">
        <f>Overview!$A$47*K9/1000</f>
        <v>0</v>
      </c>
      <c r="M9" s="44">
        <f>Overview!$B$47*K9/1000</f>
        <v>0</v>
      </c>
      <c r="N9" s="114">
        <f>Overview!$A$39*J9</f>
        <v>34500</v>
      </c>
      <c r="O9" s="163">
        <f>Overview!$B$39*J9</f>
        <v>7500</v>
      </c>
      <c r="P9" s="91" t="s">
        <v>59</v>
      </c>
      <c r="Q9" s="42" t="s">
        <v>93</v>
      </c>
      <c r="R9" s="42">
        <v>7</v>
      </c>
      <c r="S9" s="107">
        <v>180</v>
      </c>
      <c r="T9" s="46">
        <v>365</v>
      </c>
      <c r="U9" s="46">
        <v>100000</v>
      </c>
      <c r="V9" s="46">
        <v>0</v>
      </c>
      <c r="W9" s="46">
        <f>Overview!$A$47*V9/1000</f>
        <v>0</v>
      </c>
      <c r="X9" s="46">
        <f>Overview!$B$47*V9/1000</f>
        <v>0</v>
      </c>
      <c r="Y9" s="46">
        <f>Overview!$A$39*U9</f>
        <v>23000</v>
      </c>
      <c r="Z9" s="164">
        <f>Overview!$B$39*U9</f>
        <v>5000</v>
      </c>
      <c r="AA9" s="176">
        <f>H9-S9</f>
        <v>60</v>
      </c>
      <c r="AB9" s="41">
        <f>J9-T9</f>
        <v>149635</v>
      </c>
      <c r="AC9" s="41">
        <f t="shared" ref="AC9:AG10" si="0">K9-V9</f>
        <v>0</v>
      </c>
      <c r="AD9" s="41">
        <f t="shared" si="0"/>
        <v>0</v>
      </c>
      <c r="AE9" s="41">
        <f t="shared" si="0"/>
        <v>0</v>
      </c>
      <c r="AF9" s="41">
        <f t="shared" si="0"/>
        <v>11500</v>
      </c>
      <c r="AG9" s="146">
        <f t="shared" si="0"/>
        <v>2500</v>
      </c>
    </row>
    <row r="10" spans="1:33" s="37" customFormat="1" ht="29.15" customHeight="1" x14ac:dyDescent="0.35">
      <c r="A10" s="58" t="s">
        <v>163</v>
      </c>
      <c r="B10" s="59" t="s">
        <v>19</v>
      </c>
      <c r="C10" s="61" t="s">
        <v>54</v>
      </c>
      <c r="D10" s="61">
        <v>6000</v>
      </c>
      <c r="E10" s="43" t="s">
        <v>183</v>
      </c>
      <c r="F10" s="72" t="s">
        <v>28</v>
      </c>
      <c r="G10" s="72" t="s">
        <v>28</v>
      </c>
      <c r="H10" s="106">
        <v>300</v>
      </c>
      <c r="I10" s="72">
        <v>2500</v>
      </c>
      <c r="J10" s="45">
        <v>200000</v>
      </c>
      <c r="K10" s="45">
        <v>75000</v>
      </c>
      <c r="L10" s="44">
        <f>Overview!$A$47*K10/1000</f>
        <v>3855</v>
      </c>
      <c r="M10" s="44">
        <f>Overview!$B$47*K10/1000</f>
        <v>802.5</v>
      </c>
      <c r="N10" s="114">
        <f>Overview!$A$39*J10</f>
        <v>46000</v>
      </c>
      <c r="O10" s="163">
        <f>Overview!$B$39*J10</f>
        <v>10000</v>
      </c>
      <c r="P10" s="174" t="s">
        <v>184</v>
      </c>
      <c r="Q10" s="42" t="s">
        <v>28</v>
      </c>
      <c r="R10" s="42" t="s">
        <v>28</v>
      </c>
      <c r="S10" s="107">
        <v>215</v>
      </c>
      <c r="T10" s="46">
        <v>365</v>
      </c>
      <c r="U10" s="46">
        <v>150000</v>
      </c>
      <c r="V10" s="46">
        <v>25000</v>
      </c>
      <c r="W10" s="46">
        <f>Overview!$A$47*V10/1000</f>
        <v>1285</v>
      </c>
      <c r="X10" s="46">
        <f>Overview!$B$47*V10/1000</f>
        <v>267.5</v>
      </c>
      <c r="Y10" s="46">
        <f>Overview!$A$39*U10</f>
        <v>34500</v>
      </c>
      <c r="Z10" s="164">
        <f>Overview!$B$39*U10</f>
        <v>7500</v>
      </c>
      <c r="AA10" s="176">
        <f>H10-S10</f>
        <v>85</v>
      </c>
      <c r="AB10" s="41">
        <f>J10-T10</f>
        <v>199635</v>
      </c>
      <c r="AC10" s="41">
        <f t="shared" si="0"/>
        <v>50000</v>
      </c>
      <c r="AD10" s="41">
        <f t="shared" si="0"/>
        <v>2570</v>
      </c>
      <c r="AE10" s="41">
        <f t="shared" si="0"/>
        <v>535</v>
      </c>
      <c r="AF10" s="41">
        <f t="shared" si="0"/>
        <v>11500</v>
      </c>
      <c r="AG10" s="146">
        <f t="shared" si="0"/>
        <v>2500</v>
      </c>
    </row>
    <row r="11" spans="1:33" x14ac:dyDescent="0.35">
      <c r="A11" s="2"/>
      <c r="B11" s="2"/>
      <c r="C11" s="2"/>
      <c r="D11" s="2"/>
      <c r="E11" s="2"/>
      <c r="F11" s="2"/>
      <c r="G11" s="2"/>
      <c r="H11" s="2"/>
      <c r="I11" s="2"/>
      <c r="J11" s="4"/>
      <c r="K11" s="2"/>
      <c r="L11" s="2"/>
      <c r="M11" s="2"/>
      <c r="N11" s="2"/>
      <c r="O11" s="13"/>
      <c r="P11" s="23"/>
      <c r="Q11" s="2"/>
      <c r="R11" s="2"/>
      <c r="S11" s="2"/>
      <c r="T11" s="2"/>
      <c r="U11" s="2"/>
      <c r="V11" s="2"/>
      <c r="W11" s="2"/>
      <c r="X11" s="2"/>
      <c r="Y11" s="2"/>
      <c r="Z11" s="14"/>
      <c r="AA11" s="23"/>
      <c r="AB11" s="2"/>
      <c r="AC11" s="2"/>
      <c r="AD11" s="2"/>
      <c r="AE11" s="2"/>
      <c r="AF11" s="2"/>
      <c r="AG11" s="14"/>
    </row>
    <row r="12" spans="1:33" x14ac:dyDescent="0.35">
      <c r="A12" s="2"/>
      <c r="B12" s="2"/>
      <c r="C12" s="2"/>
      <c r="D12" s="2"/>
      <c r="E12" s="2"/>
      <c r="F12" s="2"/>
      <c r="G12" s="2"/>
      <c r="H12" s="2"/>
      <c r="I12" s="2"/>
      <c r="J12" s="4"/>
      <c r="K12" s="2"/>
      <c r="L12" s="2"/>
      <c r="M12" s="2"/>
      <c r="N12" s="2"/>
      <c r="O12" s="13"/>
      <c r="P12" s="23"/>
      <c r="Q12" s="2"/>
      <c r="R12" s="2"/>
      <c r="S12" s="2"/>
      <c r="T12" s="2"/>
      <c r="U12" s="2"/>
      <c r="V12" s="2"/>
      <c r="W12" s="2"/>
      <c r="X12" s="2"/>
      <c r="Y12" s="2"/>
      <c r="Z12" s="14"/>
      <c r="AA12" s="23"/>
      <c r="AB12" s="2"/>
      <c r="AC12" s="2"/>
      <c r="AD12" s="2"/>
      <c r="AE12" s="2"/>
      <c r="AF12" s="2"/>
      <c r="AG12" s="14"/>
    </row>
    <row r="13" spans="1:33" x14ac:dyDescent="0.35">
      <c r="A13" s="2"/>
      <c r="B13" s="2"/>
      <c r="C13" s="2"/>
      <c r="D13" s="2"/>
      <c r="E13" s="2"/>
      <c r="F13" s="2"/>
      <c r="G13" s="2"/>
      <c r="H13" s="2"/>
      <c r="I13" s="2"/>
      <c r="J13" s="4"/>
      <c r="K13" s="2"/>
      <c r="L13" s="2"/>
      <c r="M13" s="2"/>
      <c r="N13" s="2"/>
      <c r="O13" s="13"/>
      <c r="P13" s="23"/>
      <c r="Q13" s="2"/>
      <c r="R13" s="2"/>
      <c r="S13" s="2"/>
      <c r="T13" s="2"/>
      <c r="U13" s="2"/>
      <c r="V13" s="2"/>
      <c r="W13" s="2"/>
      <c r="X13" s="2"/>
      <c r="Y13" s="2"/>
      <c r="Z13" s="14"/>
      <c r="AA13" s="23"/>
      <c r="AB13" s="2"/>
      <c r="AC13" s="2"/>
      <c r="AD13" s="2"/>
      <c r="AE13" s="2"/>
      <c r="AF13" s="2"/>
      <c r="AG13" s="14"/>
    </row>
    <row r="14" spans="1:33" x14ac:dyDescent="0.35">
      <c r="A14" s="2"/>
      <c r="B14" s="2"/>
      <c r="C14" s="2"/>
      <c r="D14" s="2"/>
      <c r="E14" s="2"/>
      <c r="F14" s="2"/>
      <c r="G14" s="2"/>
      <c r="H14" s="2"/>
      <c r="I14" s="2"/>
      <c r="J14" s="4"/>
      <c r="K14" s="2"/>
      <c r="L14" s="2"/>
      <c r="M14" s="2"/>
      <c r="N14" s="2"/>
      <c r="O14" s="13"/>
      <c r="P14" s="23"/>
      <c r="Q14" s="2"/>
      <c r="R14" s="2"/>
      <c r="S14" s="2"/>
      <c r="T14" s="2"/>
      <c r="U14" s="2"/>
      <c r="V14" s="2"/>
      <c r="W14" s="2"/>
      <c r="X14" s="2"/>
      <c r="Y14" s="2"/>
      <c r="Z14" s="14"/>
      <c r="AA14" s="23"/>
      <c r="AB14" s="2"/>
      <c r="AC14" s="2"/>
      <c r="AD14" s="2"/>
      <c r="AE14" s="2"/>
      <c r="AF14" s="2"/>
      <c r="AG14" s="14"/>
    </row>
    <row r="15" spans="1:33" x14ac:dyDescent="0.35">
      <c r="A15" s="2"/>
      <c r="B15" s="2"/>
      <c r="C15" s="2"/>
      <c r="D15" s="2"/>
      <c r="E15" s="2"/>
      <c r="F15" s="2"/>
      <c r="G15" s="2"/>
      <c r="H15" s="2"/>
      <c r="I15" s="2"/>
      <c r="J15" s="4"/>
      <c r="K15" s="2"/>
      <c r="L15" s="2"/>
      <c r="M15" s="2"/>
      <c r="N15" s="2"/>
      <c r="O15" s="13"/>
      <c r="P15" s="23"/>
      <c r="Q15" s="2"/>
      <c r="R15" s="2"/>
      <c r="S15" s="2"/>
      <c r="T15" s="2"/>
      <c r="U15" s="2"/>
      <c r="V15" s="2"/>
      <c r="W15" s="2"/>
      <c r="X15" s="2"/>
      <c r="Y15" s="2"/>
      <c r="Z15" s="14"/>
      <c r="AA15" s="23"/>
      <c r="AB15" s="2"/>
      <c r="AC15" s="2"/>
      <c r="AD15" s="2"/>
      <c r="AE15" s="2"/>
      <c r="AF15" s="2"/>
      <c r="AG15" s="14"/>
    </row>
    <row r="16" spans="1:33" x14ac:dyDescent="0.35">
      <c r="A16" s="2"/>
      <c r="B16" s="2"/>
      <c r="C16" s="2"/>
      <c r="D16" s="2"/>
      <c r="E16" s="2"/>
      <c r="F16" s="2"/>
      <c r="G16" s="2"/>
      <c r="H16" s="2"/>
      <c r="I16" s="2"/>
      <c r="J16" s="4"/>
      <c r="K16" s="2"/>
      <c r="L16" s="2"/>
      <c r="M16" s="2"/>
      <c r="N16" s="2"/>
      <c r="O16" s="13"/>
      <c r="P16" s="23"/>
      <c r="Q16" s="2"/>
      <c r="R16" s="2"/>
      <c r="S16" s="2"/>
      <c r="T16" s="2"/>
      <c r="U16" s="2"/>
      <c r="V16" s="2"/>
      <c r="W16" s="2"/>
      <c r="X16" s="2"/>
      <c r="Y16" s="2"/>
      <c r="Z16" s="14"/>
      <c r="AA16" s="23"/>
      <c r="AB16" s="2"/>
      <c r="AC16" s="2"/>
      <c r="AD16" s="2"/>
      <c r="AE16" s="2"/>
      <c r="AF16" s="2"/>
      <c r="AG16" s="14"/>
    </row>
    <row r="17" spans="1:33" x14ac:dyDescent="0.35">
      <c r="A17" s="2"/>
      <c r="B17" s="2"/>
      <c r="C17" s="2"/>
      <c r="D17" s="2"/>
      <c r="E17" s="2"/>
      <c r="F17" s="2"/>
      <c r="G17" s="2"/>
      <c r="H17" s="2"/>
      <c r="I17" s="2"/>
      <c r="J17" s="4"/>
      <c r="K17" s="2"/>
      <c r="L17" s="2"/>
      <c r="M17" s="2"/>
      <c r="N17" s="2"/>
      <c r="O17" s="13"/>
      <c r="P17" s="23"/>
      <c r="Q17" s="2"/>
      <c r="R17" s="2"/>
      <c r="S17" s="2"/>
      <c r="T17" s="2"/>
      <c r="U17" s="2"/>
      <c r="V17" s="2"/>
      <c r="W17" s="2"/>
      <c r="X17" s="2"/>
      <c r="Y17" s="2"/>
      <c r="Z17" s="14"/>
      <c r="AA17" s="23"/>
      <c r="AB17" s="2"/>
      <c r="AC17" s="2"/>
      <c r="AD17" s="2"/>
      <c r="AE17" s="2"/>
      <c r="AF17" s="2"/>
      <c r="AG17" s="14"/>
    </row>
    <row r="18" spans="1:33" ht="15" thickBot="1" x14ac:dyDescent="0.4">
      <c r="A18" s="2"/>
      <c r="B18" s="2"/>
      <c r="C18" s="2"/>
      <c r="D18" s="2"/>
      <c r="E18" s="2"/>
      <c r="F18" s="2"/>
      <c r="G18" s="2"/>
      <c r="H18" s="2"/>
      <c r="I18" s="2"/>
      <c r="J18" s="4"/>
      <c r="K18" s="2"/>
      <c r="L18" s="2"/>
      <c r="M18" s="2"/>
      <c r="N18" s="2"/>
      <c r="O18" s="13"/>
      <c r="P18" s="24"/>
      <c r="Q18" s="15"/>
      <c r="R18" s="15"/>
      <c r="S18" s="15"/>
      <c r="T18" s="15"/>
      <c r="U18" s="15"/>
      <c r="V18" s="15"/>
      <c r="W18" s="15"/>
      <c r="X18" s="15"/>
      <c r="Y18" s="15"/>
      <c r="Z18" s="16"/>
      <c r="AA18" s="24"/>
      <c r="AB18" s="15"/>
      <c r="AC18" s="15"/>
      <c r="AD18" s="15"/>
      <c r="AE18" s="15"/>
      <c r="AF18" s="15"/>
      <c r="AG18" s="16"/>
    </row>
    <row r="19" spans="1:33" ht="15" thickBot="1" x14ac:dyDescent="0.4">
      <c r="A19" s="40" t="s">
        <v>52</v>
      </c>
      <c r="B19" s="39"/>
      <c r="C19" s="39"/>
      <c r="D19" s="39"/>
      <c r="E19" s="39"/>
      <c r="F19" s="39"/>
      <c r="G19" s="39"/>
      <c r="H19" s="39"/>
      <c r="I19" s="39"/>
      <c r="J19" s="39"/>
      <c r="K19" s="39"/>
      <c r="L19" s="39"/>
      <c r="M19" s="39"/>
      <c r="N19" s="39"/>
      <c r="O19" s="39"/>
      <c r="P19" s="34"/>
      <c r="Q19" s="34"/>
      <c r="R19" s="34"/>
      <c r="S19" s="34"/>
      <c r="T19" s="34"/>
      <c r="U19" s="34"/>
      <c r="V19" s="34"/>
      <c r="W19" s="34"/>
      <c r="X19" s="34"/>
      <c r="Y19" s="34"/>
      <c r="Z19" s="34"/>
      <c r="AA19" s="175">
        <f>SUM(AA9:AA18)</f>
        <v>145</v>
      </c>
      <c r="AB19" s="175">
        <f t="shared" ref="AB19:AD19" si="1">SUM(AB9:AB18)</f>
        <v>349270</v>
      </c>
      <c r="AC19" s="175">
        <f>SUM(AC9:AC18)</f>
        <v>50000</v>
      </c>
      <c r="AD19" s="175">
        <f t="shared" si="1"/>
        <v>2570</v>
      </c>
      <c r="AE19" s="175">
        <f>SUM(AE9:AE18)</f>
        <v>535</v>
      </c>
      <c r="AF19" s="175">
        <f>SUM(AF9:AF18)</f>
        <v>23000</v>
      </c>
      <c r="AG19" s="175">
        <f>SUM(AG9:AG18)</f>
        <v>5000</v>
      </c>
    </row>
    <row r="20" spans="1:33" ht="15" thickTop="1" x14ac:dyDescent="0.35">
      <c r="A20" s="71"/>
    </row>
    <row r="21" spans="1:33" ht="33.65" customHeight="1" x14ac:dyDescent="0.35"/>
    <row r="22" spans="1:33" ht="11.5" customHeight="1" x14ac:dyDescent="0.35"/>
    <row r="23" spans="1:33" ht="21.65" customHeight="1" x14ac:dyDescent="0.35">
      <c r="A23" s="242" t="s">
        <v>99</v>
      </c>
      <c r="B23" s="243"/>
      <c r="C23" s="243"/>
      <c r="D23" s="243"/>
      <c r="E23" s="243"/>
      <c r="F23" s="243"/>
      <c r="G23" s="243"/>
      <c r="H23" s="244"/>
    </row>
    <row r="24" spans="1:33" ht="45" customHeight="1" x14ac:dyDescent="0.4">
      <c r="A24" s="67" t="s">
        <v>204</v>
      </c>
      <c r="B24" s="67" t="s">
        <v>205</v>
      </c>
      <c r="C24" s="67" t="s">
        <v>206</v>
      </c>
      <c r="D24" s="70" t="s">
        <v>207</v>
      </c>
      <c r="E24" s="115" t="s">
        <v>208</v>
      </c>
      <c r="F24" s="115" t="s">
        <v>200</v>
      </c>
      <c r="G24" s="115" t="s">
        <v>201</v>
      </c>
      <c r="H24" s="165" t="s">
        <v>67</v>
      </c>
      <c r="I24" s="93" t="s">
        <v>111</v>
      </c>
      <c r="J24" s="69" t="s">
        <v>101</v>
      </c>
    </row>
    <row r="25" spans="1:33" ht="30.65" customHeight="1" x14ac:dyDescent="0.35">
      <c r="A25" s="158">
        <f>AB19</f>
        <v>349270</v>
      </c>
      <c r="B25" s="158">
        <f>AC19/1000</f>
        <v>50</v>
      </c>
      <c r="C25" s="157">
        <f>AA19</f>
        <v>145</v>
      </c>
      <c r="D25" s="196">
        <f>A25*Overview!$A$32+B25*Overview!$D$32+C25*Overview!$B$32</f>
        <v>90597.5</v>
      </c>
      <c r="E25" s="167">
        <f>AD19</f>
        <v>2570</v>
      </c>
      <c r="F25" s="167">
        <f>AF19</f>
        <v>23000</v>
      </c>
      <c r="G25" s="167">
        <f>AE19+AG19</f>
        <v>5535</v>
      </c>
      <c r="H25" s="135"/>
      <c r="I25" s="158">
        <f>IFERROR(H25/D25,0)</f>
        <v>0</v>
      </c>
      <c r="J25" s="2"/>
    </row>
    <row r="27" spans="1:33" ht="21" x14ac:dyDescent="0.5">
      <c r="A27" s="170"/>
      <c r="B27" s="171"/>
    </row>
    <row r="28" spans="1:33" x14ac:dyDescent="0.35">
      <c r="A28" s="171"/>
      <c r="B28" s="171"/>
    </row>
    <row r="29" spans="1:33" x14ac:dyDescent="0.35">
      <c r="A29" s="171"/>
      <c r="B29" s="171"/>
    </row>
    <row r="30" spans="1:33" x14ac:dyDescent="0.35">
      <c r="A30" s="171"/>
      <c r="B30" s="171"/>
    </row>
    <row r="31" spans="1:33" x14ac:dyDescent="0.35">
      <c r="A31" s="171"/>
      <c r="B31" s="171"/>
    </row>
    <row r="32" spans="1:33" x14ac:dyDescent="0.35">
      <c r="A32" s="171"/>
      <c r="B32" s="171"/>
    </row>
    <row r="39" spans="4:4" ht="18.5" x14ac:dyDescent="0.45">
      <c r="D39" s="10"/>
    </row>
  </sheetData>
  <mergeCells count="4">
    <mergeCell ref="AA7:AG7"/>
    <mergeCell ref="P7:Z7"/>
    <mergeCell ref="E7:O7"/>
    <mergeCell ref="A23:H23"/>
  </mergeCell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FB2BFE70-4E03-4867-9B37-F160C0059CD1}">
          <x14:formula1>
            <xm:f>'Data Base'!#REF!</xm:f>
          </x14:formula1>
          <xm:sqref>B2:B3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13A2B-7CBA-4C3C-8BA4-D60B9D8E0398}">
  <sheetPr codeName="Sheet8"/>
  <dimension ref="A1:AG38"/>
  <sheetViews>
    <sheetView workbookViewId="0">
      <selection activeCell="B3" sqref="B3"/>
    </sheetView>
  </sheetViews>
  <sheetFormatPr defaultRowHeight="14.5" x14ac:dyDescent="0.35"/>
  <cols>
    <col min="1" max="2" width="28.54296875" customWidth="1"/>
    <col min="3" max="3" width="23.453125" customWidth="1"/>
    <col min="4" max="4" width="20.1796875" customWidth="1"/>
    <col min="5" max="7" width="22.54296875" customWidth="1"/>
    <col min="8" max="8" width="25.81640625" customWidth="1"/>
    <col min="9" max="9" width="19.453125" customWidth="1"/>
    <col min="10" max="10" width="14.54296875" customWidth="1"/>
    <col min="11" max="11" width="18.1796875" customWidth="1"/>
    <col min="12" max="13" width="14.81640625" customWidth="1"/>
    <col min="14" max="14" width="12.1796875" customWidth="1"/>
    <col min="15" max="15" width="15.453125" customWidth="1"/>
    <col min="16" max="16" width="25.26953125" customWidth="1"/>
    <col min="17" max="18" width="18" customWidth="1"/>
    <col min="19" max="19" width="27.81640625" customWidth="1"/>
    <col min="20" max="20" width="20.81640625" customWidth="1"/>
    <col min="21" max="21" width="20.1796875" customWidth="1"/>
    <col min="22" max="22" width="15.453125" customWidth="1"/>
    <col min="23" max="23" width="17.453125" customWidth="1"/>
    <col min="24" max="26" width="14.81640625" customWidth="1"/>
    <col min="27" max="27" width="12.81640625" customWidth="1"/>
    <col min="28" max="28" width="13.81640625" customWidth="1"/>
    <col min="29" max="29" width="14.453125" customWidth="1"/>
    <col min="30" max="30" width="12.81640625" customWidth="1"/>
    <col min="31" max="31" width="16.1796875" customWidth="1"/>
    <col min="32" max="32" width="12.81640625" customWidth="1"/>
    <col min="33" max="33" width="13.54296875" customWidth="1"/>
    <col min="34" max="34" width="11.453125" customWidth="1"/>
    <col min="35" max="36" width="15.81640625" customWidth="1"/>
    <col min="37" max="38" width="14.81640625" customWidth="1"/>
    <col min="39" max="39" width="16.81640625" customWidth="1"/>
    <col min="40" max="40" width="13.1796875" customWidth="1"/>
  </cols>
  <sheetData>
    <row r="1" spans="1:33" ht="26.15" customHeight="1" x14ac:dyDescent="0.45">
      <c r="A1" s="10" t="s">
        <v>177</v>
      </c>
    </row>
    <row r="2" spans="1:33" x14ac:dyDescent="0.35">
      <c r="E2" s="1" t="s">
        <v>12</v>
      </c>
    </row>
    <row r="3" spans="1:33" x14ac:dyDescent="0.35">
      <c r="E3" t="s">
        <v>98</v>
      </c>
    </row>
    <row r="4" spans="1:33" ht="18.5" x14ac:dyDescent="0.45">
      <c r="E4" s="56" t="s">
        <v>168</v>
      </c>
      <c r="F4" s="56"/>
      <c r="G4" s="56"/>
    </row>
    <row r="5" spans="1:33" ht="15" thickBot="1" x14ac:dyDescent="0.4"/>
    <row r="6" spans="1:33" ht="24" customHeight="1" thickBot="1" x14ac:dyDescent="0.4">
      <c r="E6" s="239" t="s">
        <v>32</v>
      </c>
      <c r="F6" s="240"/>
      <c r="G6" s="240"/>
      <c r="H6" s="240"/>
      <c r="I6" s="240"/>
      <c r="J6" s="240"/>
      <c r="K6" s="240"/>
      <c r="L6" s="240"/>
      <c r="M6" s="240"/>
      <c r="N6" s="240"/>
      <c r="O6" s="241"/>
      <c r="P6" s="236" t="s">
        <v>33</v>
      </c>
      <c r="Q6" s="237"/>
      <c r="R6" s="237"/>
      <c r="S6" s="237"/>
      <c r="T6" s="237"/>
      <c r="U6" s="237"/>
      <c r="V6" s="237"/>
      <c r="W6" s="237"/>
      <c r="X6" s="237"/>
      <c r="Y6" s="237"/>
      <c r="Z6" s="238"/>
      <c r="AA6" s="233" t="s">
        <v>38</v>
      </c>
      <c r="AB6" s="234"/>
      <c r="AC6" s="234"/>
      <c r="AD6" s="234"/>
      <c r="AE6" s="234"/>
      <c r="AF6" s="234"/>
      <c r="AG6" s="235"/>
    </row>
    <row r="7" spans="1:33" ht="57" customHeight="1" x14ac:dyDescent="0.4">
      <c r="A7" s="6" t="s">
        <v>61</v>
      </c>
      <c r="B7" s="6" t="s">
        <v>5</v>
      </c>
      <c r="C7" s="6" t="s">
        <v>127</v>
      </c>
      <c r="D7" s="6" t="s">
        <v>128</v>
      </c>
      <c r="E7" s="29" t="s">
        <v>56</v>
      </c>
      <c r="F7" s="73" t="s">
        <v>90</v>
      </c>
      <c r="G7" s="73" t="s">
        <v>92</v>
      </c>
      <c r="H7" s="29" t="s">
        <v>196</v>
      </c>
      <c r="I7" s="29" t="s">
        <v>180</v>
      </c>
      <c r="J7" s="38" t="s">
        <v>181</v>
      </c>
      <c r="K7" s="38" t="s">
        <v>182</v>
      </c>
      <c r="L7" s="29" t="s">
        <v>125</v>
      </c>
      <c r="M7" s="29" t="s">
        <v>126</v>
      </c>
      <c r="N7" s="29" t="s">
        <v>123</v>
      </c>
      <c r="O7" s="136" t="s">
        <v>124</v>
      </c>
      <c r="P7" s="28" t="s">
        <v>56</v>
      </c>
      <c r="Q7" s="73" t="s">
        <v>90</v>
      </c>
      <c r="R7" s="73" t="s">
        <v>92</v>
      </c>
      <c r="S7" s="29" t="s">
        <v>134</v>
      </c>
      <c r="T7" s="29" t="s">
        <v>180</v>
      </c>
      <c r="U7" s="38" t="s">
        <v>181</v>
      </c>
      <c r="V7" s="38" t="s">
        <v>182</v>
      </c>
      <c r="W7" s="29" t="s">
        <v>125</v>
      </c>
      <c r="X7" s="29" t="s">
        <v>126</v>
      </c>
      <c r="Y7" s="29" t="s">
        <v>123</v>
      </c>
      <c r="Z7" s="147" t="s">
        <v>124</v>
      </c>
      <c r="AA7" s="28" t="s">
        <v>134</v>
      </c>
      <c r="AB7" s="29" t="s">
        <v>130</v>
      </c>
      <c r="AC7" s="29" t="s">
        <v>131</v>
      </c>
      <c r="AD7" s="29" t="s">
        <v>125</v>
      </c>
      <c r="AE7" s="29" t="s">
        <v>126</v>
      </c>
      <c r="AF7" s="29" t="s">
        <v>123</v>
      </c>
      <c r="AG7" s="147" t="s">
        <v>124</v>
      </c>
    </row>
    <row r="8" spans="1:33" s="37" customFormat="1" ht="29.15" customHeight="1" x14ac:dyDescent="0.35">
      <c r="A8" s="58" t="s">
        <v>53</v>
      </c>
      <c r="B8" s="59" t="s">
        <v>19</v>
      </c>
      <c r="C8" s="61" t="s">
        <v>54</v>
      </c>
      <c r="D8" s="61">
        <v>6000</v>
      </c>
      <c r="E8" s="43" t="s">
        <v>57</v>
      </c>
      <c r="F8" s="72" t="s">
        <v>91</v>
      </c>
      <c r="G8" s="72">
        <v>1810</v>
      </c>
      <c r="H8" s="44">
        <v>240</v>
      </c>
      <c r="I8" s="44">
        <v>2500</v>
      </c>
      <c r="J8" s="45">
        <v>150000</v>
      </c>
      <c r="K8" s="44">
        <v>0</v>
      </c>
      <c r="L8" s="44">
        <f>Overview!$A$47*K8/1000</f>
        <v>0</v>
      </c>
      <c r="M8" s="44">
        <f>Overview!$B$47*K8/1000</f>
        <v>0</v>
      </c>
      <c r="N8" s="114">
        <f>Overview!$A$39*J8</f>
        <v>34500</v>
      </c>
      <c r="O8" s="163">
        <f>Overview!$B$39*J8</f>
        <v>7500</v>
      </c>
      <c r="P8" s="91" t="s">
        <v>59</v>
      </c>
      <c r="Q8" s="42" t="s">
        <v>93</v>
      </c>
      <c r="R8" s="42">
        <v>7</v>
      </c>
      <c r="S8" s="107">
        <v>180</v>
      </c>
      <c r="T8" s="46">
        <v>365</v>
      </c>
      <c r="U8" s="46">
        <v>100000</v>
      </c>
      <c r="V8" s="46">
        <v>0</v>
      </c>
      <c r="W8" s="46">
        <f>Overview!$A$47*V8/1000</f>
        <v>0</v>
      </c>
      <c r="X8" s="46">
        <f>Overview!$B$47*V8/1000</f>
        <v>0</v>
      </c>
      <c r="Y8" s="46">
        <f>Overview!$A$39*U8</f>
        <v>23000</v>
      </c>
      <c r="Z8" s="164">
        <f>Overview!$B$39*U8</f>
        <v>5000</v>
      </c>
      <c r="AA8" s="176">
        <f>H8-S8</f>
        <v>60</v>
      </c>
      <c r="AB8" s="41">
        <f>J8-T8</f>
        <v>149635</v>
      </c>
      <c r="AC8" s="41">
        <f t="shared" ref="AC8:AG9" si="0">K8-V8</f>
        <v>0</v>
      </c>
      <c r="AD8" s="41">
        <f t="shared" si="0"/>
        <v>0</v>
      </c>
      <c r="AE8" s="41">
        <f t="shared" si="0"/>
        <v>0</v>
      </c>
      <c r="AF8" s="41">
        <f t="shared" si="0"/>
        <v>11500</v>
      </c>
      <c r="AG8" s="146">
        <f t="shared" si="0"/>
        <v>2500</v>
      </c>
    </row>
    <row r="9" spans="1:33" s="37" customFormat="1" ht="29.15" customHeight="1" x14ac:dyDescent="0.35">
      <c r="A9" s="58" t="s">
        <v>163</v>
      </c>
      <c r="B9" s="59" t="s">
        <v>19</v>
      </c>
      <c r="C9" s="61" t="s">
        <v>54</v>
      </c>
      <c r="D9" s="61">
        <v>6000</v>
      </c>
      <c r="E9" s="43" t="s">
        <v>183</v>
      </c>
      <c r="F9" s="72" t="s">
        <v>28</v>
      </c>
      <c r="G9" s="72" t="s">
        <v>28</v>
      </c>
      <c r="H9" s="106">
        <v>300</v>
      </c>
      <c r="I9" s="72">
        <v>2500</v>
      </c>
      <c r="J9" s="45">
        <v>200000</v>
      </c>
      <c r="K9" s="45">
        <v>75000</v>
      </c>
      <c r="L9" s="44">
        <f>Overview!$A$47*K9/1000</f>
        <v>3855</v>
      </c>
      <c r="M9" s="44">
        <f>Overview!$B$47*K9/1000</f>
        <v>802.5</v>
      </c>
      <c r="N9" s="114">
        <f>Overview!$A$39*J9</f>
        <v>46000</v>
      </c>
      <c r="O9" s="163">
        <f>Overview!$B$39*J9</f>
        <v>10000</v>
      </c>
      <c r="P9" s="174" t="s">
        <v>184</v>
      </c>
      <c r="Q9" s="42" t="s">
        <v>28</v>
      </c>
      <c r="R9" s="42" t="s">
        <v>28</v>
      </c>
      <c r="S9" s="107">
        <v>215</v>
      </c>
      <c r="T9" s="46">
        <v>365</v>
      </c>
      <c r="U9" s="46">
        <v>150000</v>
      </c>
      <c r="V9" s="46">
        <v>25000</v>
      </c>
      <c r="W9" s="46">
        <f>Overview!$A$47*V9/1000</f>
        <v>1285</v>
      </c>
      <c r="X9" s="46">
        <f>Overview!$B$47*V9/1000</f>
        <v>267.5</v>
      </c>
      <c r="Y9" s="46">
        <f>Overview!$A$39*U9</f>
        <v>34500</v>
      </c>
      <c r="Z9" s="164">
        <f>Overview!$B$39*U9</f>
        <v>7500</v>
      </c>
      <c r="AA9" s="176">
        <f>H9-S9</f>
        <v>85</v>
      </c>
      <c r="AB9" s="41">
        <f>J9-T9</f>
        <v>199635</v>
      </c>
      <c r="AC9" s="41">
        <f t="shared" si="0"/>
        <v>50000</v>
      </c>
      <c r="AD9" s="41">
        <f t="shared" si="0"/>
        <v>2570</v>
      </c>
      <c r="AE9" s="41">
        <f t="shared" si="0"/>
        <v>535</v>
      </c>
      <c r="AF9" s="41">
        <f t="shared" si="0"/>
        <v>11500</v>
      </c>
      <c r="AG9" s="146">
        <f t="shared" si="0"/>
        <v>2500</v>
      </c>
    </row>
    <row r="10" spans="1:33" x14ac:dyDescent="0.35">
      <c r="A10" s="2"/>
      <c r="B10" s="2"/>
      <c r="C10" s="2"/>
      <c r="D10" s="2"/>
      <c r="E10" s="2"/>
      <c r="F10" s="2"/>
      <c r="G10" s="2"/>
      <c r="H10" s="2"/>
      <c r="I10" s="2"/>
      <c r="J10" s="4"/>
      <c r="K10" s="2"/>
      <c r="L10" s="2"/>
      <c r="M10" s="2"/>
      <c r="N10" s="2"/>
      <c r="O10" s="13"/>
      <c r="P10" s="23"/>
      <c r="Q10" s="2"/>
      <c r="R10" s="2"/>
      <c r="S10" s="2"/>
      <c r="T10" s="2"/>
      <c r="U10" s="2"/>
      <c r="V10" s="2"/>
      <c r="W10" s="2"/>
      <c r="X10" s="2"/>
      <c r="Y10" s="2"/>
      <c r="Z10" s="14"/>
      <c r="AA10" s="23"/>
      <c r="AB10" s="2"/>
      <c r="AC10" s="2"/>
      <c r="AD10" s="2"/>
      <c r="AE10" s="2"/>
      <c r="AF10" s="2"/>
      <c r="AG10" s="14"/>
    </row>
    <row r="11" spans="1:33" x14ac:dyDescent="0.35">
      <c r="A11" s="2"/>
      <c r="B11" s="2"/>
      <c r="C11" s="2"/>
      <c r="D11" s="2"/>
      <c r="E11" s="2"/>
      <c r="F11" s="2"/>
      <c r="G11" s="2"/>
      <c r="H11" s="2"/>
      <c r="I11" s="2"/>
      <c r="J11" s="4"/>
      <c r="K11" s="2"/>
      <c r="L11" s="2"/>
      <c r="M11" s="2"/>
      <c r="N11" s="2"/>
      <c r="O11" s="13"/>
      <c r="P11" s="23"/>
      <c r="Q11" s="2"/>
      <c r="R11" s="2"/>
      <c r="S11" s="2"/>
      <c r="T11" s="2"/>
      <c r="U11" s="2"/>
      <c r="V11" s="2"/>
      <c r="W11" s="2"/>
      <c r="X11" s="2"/>
      <c r="Y11" s="2"/>
      <c r="Z11" s="14"/>
      <c r="AA11" s="23"/>
      <c r="AB11" s="2"/>
      <c r="AC11" s="2"/>
      <c r="AD11" s="2"/>
      <c r="AE11" s="2"/>
      <c r="AF11" s="2"/>
      <c r="AG11" s="14"/>
    </row>
    <row r="12" spans="1:33" x14ac:dyDescent="0.35">
      <c r="A12" s="2"/>
      <c r="B12" s="2"/>
      <c r="C12" s="2"/>
      <c r="D12" s="2"/>
      <c r="E12" s="2"/>
      <c r="F12" s="2"/>
      <c r="G12" s="2"/>
      <c r="H12" s="2"/>
      <c r="I12" s="2"/>
      <c r="J12" s="4"/>
      <c r="K12" s="2"/>
      <c r="L12" s="2"/>
      <c r="M12" s="2"/>
      <c r="N12" s="2"/>
      <c r="O12" s="13"/>
      <c r="P12" s="23"/>
      <c r="Q12" s="2"/>
      <c r="R12" s="2"/>
      <c r="S12" s="2"/>
      <c r="T12" s="2"/>
      <c r="U12" s="2"/>
      <c r="V12" s="2"/>
      <c r="W12" s="2"/>
      <c r="X12" s="2"/>
      <c r="Y12" s="2"/>
      <c r="Z12" s="14"/>
      <c r="AA12" s="23"/>
      <c r="AB12" s="2"/>
      <c r="AC12" s="2"/>
      <c r="AD12" s="2"/>
      <c r="AE12" s="2"/>
      <c r="AF12" s="2"/>
      <c r="AG12" s="14"/>
    </row>
    <row r="13" spans="1:33" x14ac:dyDescent="0.35">
      <c r="A13" s="2"/>
      <c r="B13" s="2"/>
      <c r="C13" s="2"/>
      <c r="D13" s="2"/>
      <c r="E13" s="2"/>
      <c r="F13" s="2"/>
      <c r="G13" s="2"/>
      <c r="H13" s="2"/>
      <c r="I13" s="2"/>
      <c r="J13" s="4"/>
      <c r="K13" s="2"/>
      <c r="L13" s="2"/>
      <c r="M13" s="2"/>
      <c r="N13" s="2"/>
      <c r="O13" s="13"/>
      <c r="P13" s="23"/>
      <c r="Q13" s="2"/>
      <c r="R13" s="2"/>
      <c r="S13" s="2"/>
      <c r="T13" s="2"/>
      <c r="U13" s="2"/>
      <c r="V13" s="2"/>
      <c r="W13" s="2"/>
      <c r="X13" s="2"/>
      <c r="Y13" s="2"/>
      <c r="Z13" s="14"/>
      <c r="AA13" s="23"/>
      <c r="AB13" s="2"/>
      <c r="AC13" s="2"/>
      <c r="AD13" s="2"/>
      <c r="AE13" s="2"/>
      <c r="AF13" s="2"/>
      <c r="AG13" s="14"/>
    </row>
    <row r="14" spans="1:33" x14ac:dyDescent="0.35">
      <c r="A14" s="2"/>
      <c r="B14" s="2"/>
      <c r="C14" s="2"/>
      <c r="D14" s="2"/>
      <c r="E14" s="2"/>
      <c r="F14" s="2"/>
      <c r="G14" s="2"/>
      <c r="H14" s="2"/>
      <c r="I14" s="2"/>
      <c r="J14" s="4"/>
      <c r="K14" s="2"/>
      <c r="L14" s="2"/>
      <c r="M14" s="2"/>
      <c r="N14" s="2"/>
      <c r="O14" s="13"/>
      <c r="P14" s="23"/>
      <c r="Q14" s="2"/>
      <c r="R14" s="2"/>
      <c r="S14" s="2"/>
      <c r="T14" s="2"/>
      <c r="U14" s="2"/>
      <c r="V14" s="2"/>
      <c r="W14" s="2"/>
      <c r="X14" s="2"/>
      <c r="Y14" s="2"/>
      <c r="Z14" s="14"/>
      <c r="AA14" s="23"/>
      <c r="AB14" s="2"/>
      <c r="AC14" s="2"/>
      <c r="AD14" s="2"/>
      <c r="AE14" s="2"/>
      <c r="AF14" s="2"/>
      <c r="AG14" s="14"/>
    </row>
    <row r="15" spans="1:33" x14ac:dyDescent="0.35">
      <c r="A15" s="2"/>
      <c r="B15" s="2"/>
      <c r="C15" s="2"/>
      <c r="D15" s="2"/>
      <c r="E15" s="2"/>
      <c r="F15" s="2"/>
      <c r="G15" s="2"/>
      <c r="H15" s="2"/>
      <c r="I15" s="2"/>
      <c r="J15" s="4"/>
      <c r="K15" s="2"/>
      <c r="L15" s="2"/>
      <c r="M15" s="2"/>
      <c r="N15" s="2"/>
      <c r="O15" s="13"/>
      <c r="P15" s="23"/>
      <c r="Q15" s="2"/>
      <c r="R15" s="2"/>
      <c r="S15" s="2"/>
      <c r="T15" s="2"/>
      <c r="U15" s="2"/>
      <c r="V15" s="2"/>
      <c r="W15" s="2"/>
      <c r="X15" s="2"/>
      <c r="Y15" s="2"/>
      <c r="Z15" s="14"/>
      <c r="AA15" s="23"/>
      <c r="AB15" s="2"/>
      <c r="AC15" s="2"/>
      <c r="AD15" s="2"/>
      <c r="AE15" s="2"/>
      <c r="AF15" s="2"/>
      <c r="AG15" s="14"/>
    </row>
    <row r="16" spans="1:33" x14ac:dyDescent="0.35">
      <c r="A16" s="2"/>
      <c r="B16" s="2"/>
      <c r="C16" s="2"/>
      <c r="D16" s="2"/>
      <c r="E16" s="2"/>
      <c r="F16" s="2"/>
      <c r="G16" s="2"/>
      <c r="H16" s="2"/>
      <c r="I16" s="2"/>
      <c r="J16" s="4"/>
      <c r="K16" s="2"/>
      <c r="L16" s="2"/>
      <c r="M16" s="2"/>
      <c r="N16" s="2"/>
      <c r="O16" s="13"/>
      <c r="P16" s="23"/>
      <c r="Q16" s="2"/>
      <c r="R16" s="2"/>
      <c r="S16" s="2"/>
      <c r="T16" s="2"/>
      <c r="U16" s="2"/>
      <c r="V16" s="2"/>
      <c r="W16" s="2"/>
      <c r="X16" s="2"/>
      <c r="Y16" s="2"/>
      <c r="Z16" s="14"/>
      <c r="AA16" s="23"/>
      <c r="AB16" s="2"/>
      <c r="AC16" s="2"/>
      <c r="AD16" s="2"/>
      <c r="AE16" s="2"/>
      <c r="AF16" s="2"/>
      <c r="AG16" s="14"/>
    </row>
    <row r="17" spans="1:33" ht="15" thickBot="1" x14ac:dyDescent="0.4">
      <c r="A17" s="2"/>
      <c r="B17" s="2"/>
      <c r="C17" s="2"/>
      <c r="D17" s="2"/>
      <c r="E17" s="2"/>
      <c r="F17" s="2"/>
      <c r="G17" s="2"/>
      <c r="H17" s="2"/>
      <c r="I17" s="2"/>
      <c r="J17" s="4"/>
      <c r="K17" s="2"/>
      <c r="L17" s="2"/>
      <c r="M17" s="2"/>
      <c r="N17" s="2"/>
      <c r="O17" s="13"/>
      <c r="P17" s="24"/>
      <c r="Q17" s="15"/>
      <c r="R17" s="15"/>
      <c r="S17" s="15"/>
      <c r="T17" s="15"/>
      <c r="U17" s="15"/>
      <c r="V17" s="15"/>
      <c r="W17" s="15"/>
      <c r="X17" s="15"/>
      <c r="Y17" s="15"/>
      <c r="Z17" s="16"/>
      <c r="AA17" s="24"/>
      <c r="AB17" s="15"/>
      <c r="AC17" s="15"/>
      <c r="AD17" s="15"/>
      <c r="AE17" s="15"/>
      <c r="AF17" s="15"/>
      <c r="AG17" s="16"/>
    </row>
    <row r="18" spans="1:33" ht="15" thickBot="1" x14ac:dyDescent="0.4">
      <c r="A18" s="40" t="s">
        <v>52</v>
      </c>
      <c r="B18" s="39"/>
      <c r="C18" s="39"/>
      <c r="D18" s="39"/>
      <c r="E18" s="39"/>
      <c r="F18" s="39"/>
      <c r="G18" s="39"/>
      <c r="H18" s="39"/>
      <c r="I18" s="39"/>
      <c r="J18" s="39"/>
      <c r="K18" s="39"/>
      <c r="L18" s="39"/>
      <c r="M18" s="39"/>
      <c r="N18" s="39"/>
      <c r="O18" s="39"/>
      <c r="P18" s="34"/>
      <c r="Q18" s="34"/>
      <c r="R18" s="34"/>
      <c r="S18" s="34"/>
      <c r="T18" s="34"/>
      <c r="U18" s="34"/>
      <c r="V18" s="34"/>
      <c r="W18" s="34"/>
      <c r="X18" s="34"/>
      <c r="Y18" s="34"/>
      <c r="Z18" s="34"/>
      <c r="AA18" s="175">
        <f>SUM(AA8:AA17)</f>
        <v>145</v>
      </c>
      <c r="AB18" s="175">
        <f t="shared" ref="AB18:AG18" si="1">SUM(AB8:AB17)</f>
        <v>349270</v>
      </c>
      <c r="AC18" s="175">
        <f t="shared" si="1"/>
        <v>50000</v>
      </c>
      <c r="AD18" s="175">
        <f t="shared" si="1"/>
        <v>2570</v>
      </c>
      <c r="AE18" s="175">
        <f t="shared" si="1"/>
        <v>535</v>
      </c>
      <c r="AF18" s="175">
        <f t="shared" si="1"/>
        <v>23000</v>
      </c>
      <c r="AG18" s="175">
        <f t="shared" si="1"/>
        <v>5000</v>
      </c>
    </row>
    <row r="19" spans="1:33" ht="15" thickTop="1" x14ac:dyDescent="0.35">
      <c r="A19" s="71"/>
    </row>
    <row r="20" spans="1:33" ht="33.65" customHeight="1" x14ac:dyDescent="0.35"/>
    <row r="21" spans="1:33" ht="11.5" customHeight="1" x14ac:dyDescent="0.35"/>
    <row r="22" spans="1:33" ht="21.65" customHeight="1" x14ac:dyDescent="0.35">
      <c r="A22" s="242" t="s">
        <v>99</v>
      </c>
      <c r="B22" s="243"/>
      <c r="C22" s="243"/>
      <c r="D22" s="243"/>
      <c r="E22" s="243"/>
      <c r="F22" s="243"/>
      <c r="G22" s="243"/>
      <c r="H22" s="244"/>
    </row>
    <row r="23" spans="1:33" ht="45" customHeight="1" x14ac:dyDescent="0.4">
      <c r="A23" s="67" t="s">
        <v>129</v>
      </c>
      <c r="B23" s="67" t="s">
        <v>176</v>
      </c>
      <c r="C23" s="67" t="s">
        <v>81</v>
      </c>
      <c r="D23" s="70" t="s">
        <v>76</v>
      </c>
      <c r="E23" s="115" t="s">
        <v>135</v>
      </c>
      <c r="F23" s="115" t="s">
        <v>120</v>
      </c>
      <c r="G23" s="115" t="s">
        <v>121</v>
      </c>
      <c r="H23" s="68" t="s">
        <v>65</v>
      </c>
      <c r="I23" s="93" t="s">
        <v>111</v>
      </c>
      <c r="J23" s="69" t="s">
        <v>101</v>
      </c>
    </row>
    <row r="24" spans="1:33" ht="30.65" customHeight="1" x14ac:dyDescent="0.35">
      <c r="A24" s="158">
        <f>AB18</f>
        <v>349270</v>
      </c>
      <c r="B24" s="158">
        <f>AC18/1000</f>
        <v>50</v>
      </c>
      <c r="C24" s="158">
        <f>AA18</f>
        <v>145</v>
      </c>
      <c r="D24" s="135">
        <f>A24*Overview!$A$32+B24*Overview!$D$32+C24*Overview!$B$32</f>
        <v>90597.5</v>
      </c>
      <c r="E24" s="167">
        <f>AD18</f>
        <v>2570</v>
      </c>
      <c r="F24" s="167">
        <f>AF18</f>
        <v>23000</v>
      </c>
      <c r="G24" s="167">
        <f>AE18+AG18</f>
        <v>5535</v>
      </c>
      <c r="H24" s="135"/>
      <c r="I24" s="158">
        <f>IFERROR(H24/D24,0)</f>
        <v>0</v>
      </c>
      <c r="J24" s="2"/>
    </row>
    <row r="26" spans="1:33" ht="21" x14ac:dyDescent="0.5">
      <c r="A26" s="170"/>
    </row>
    <row r="38" spans="4:4" ht="18.5" x14ac:dyDescent="0.45">
      <c r="D38" s="10"/>
    </row>
  </sheetData>
  <mergeCells count="4">
    <mergeCell ref="E6:O6"/>
    <mergeCell ref="P6:Z6"/>
    <mergeCell ref="AA6:AG6"/>
    <mergeCell ref="A22:H22"/>
  </mergeCell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431F37A3-70C7-4428-A2DE-6AEBAA082327}">
          <x14:formula1>
            <xm:f>'Data Base'!#REF!</xm:f>
          </x14:formula1>
          <xm:sqref>B2:B3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FD368-D4C7-42BE-87F1-AC9B0539899F}">
  <sheetPr codeName="Sheet10"/>
  <dimension ref="A1:U38"/>
  <sheetViews>
    <sheetView workbookViewId="0">
      <selection activeCell="C36" sqref="C36"/>
    </sheetView>
  </sheetViews>
  <sheetFormatPr defaultRowHeight="14.5" x14ac:dyDescent="0.35"/>
  <cols>
    <col min="1" max="2" width="26.453125" customWidth="1"/>
    <col min="3" max="3" width="26.81640625" customWidth="1"/>
    <col min="4" max="4" width="34.81640625" customWidth="1"/>
    <col min="5" max="6" width="21.54296875" customWidth="1"/>
    <col min="7" max="7" width="27.81640625" customWidth="1"/>
    <col min="8" max="8" width="19.81640625" customWidth="1"/>
    <col min="9" max="9" width="17.54296875" customWidth="1"/>
    <col min="10" max="10" width="45.1796875" customWidth="1"/>
    <col min="11" max="11" width="23.453125" customWidth="1"/>
    <col min="12" max="12" width="17.54296875" customWidth="1"/>
    <col min="13" max="13" width="19.26953125" customWidth="1"/>
    <col min="14" max="14" width="19.81640625" customWidth="1"/>
    <col min="15" max="17" width="17.81640625" customWidth="1"/>
    <col min="18" max="18" width="15.81640625" customWidth="1"/>
    <col min="19" max="19" width="16.453125" customWidth="1"/>
    <col min="20" max="21" width="15.81640625" customWidth="1"/>
    <col min="22" max="22" width="23.1796875" customWidth="1"/>
    <col min="23" max="23" width="21.54296875" customWidth="1"/>
    <col min="24" max="24" width="18.81640625" customWidth="1"/>
    <col min="25" max="25" width="15.1796875" customWidth="1"/>
    <col min="26" max="26" width="14.54296875" customWidth="1"/>
    <col min="27" max="27" width="17.54296875" customWidth="1"/>
    <col min="28" max="30" width="16.453125" customWidth="1"/>
    <col min="31" max="31" width="15.54296875" customWidth="1"/>
    <col min="32" max="34" width="13.54296875" customWidth="1"/>
    <col min="35" max="36" width="13.1796875" customWidth="1"/>
  </cols>
  <sheetData>
    <row r="1" spans="1:21" ht="26.15" customHeight="1" x14ac:dyDescent="0.45">
      <c r="A1" s="10" t="s">
        <v>10</v>
      </c>
    </row>
    <row r="2" spans="1:21" x14ac:dyDescent="0.35">
      <c r="E2" s="1" t="s">
        <v>12</v>
      </c>
    </row>
    <row r="3" spans="1:21" x14ac:dyDescent="0.35">
      <c r="E3" t="s">
        <v>98</v>
      </c>
    </row>
    <row r="4" spans="1:21" ht="18.5" x14ac:dyDescent="0.45">
      <c r="D4" s="56"/>
      <c r="E4" s="56" t="s">
        <v>168</v>
      </c>
    </row>
    <row r="5" spans="1:21" ht="18.5" x14ac:dyDescent="0.45">
      <c r="D5" s="56"/>
      <c r="E5" s="56"/>
    </row>
    <row r="6" spans="1:21" ht="15" customHeight="1" x14ac:dyDescent="0.35">
      <c r="C6" s="2"/>
      <c r="D6" s="247" t="s">
        <v>32</v>
      </c>
      <c r="E6" s="248"/>
      <c r="F6" s="248"/>
      <c r="G6" s="248"/>
      <c r="H6" s="248"/>
      <c r="I6" s="249"/>
      <c r="J6" s="250" t="s">
        <v>33</v>
      </c>
      <c r="K6" s="251"/>
      <c r="L6" s="251"/>
      <c r="M6" s="251"/>
      <c r="N6" s="251"/>
      <c r="O6" s="252"/>
      <c r="P6" s="245" t="s">
        <v>73</v>
      </c>
      <c r="Q6" s="246"/>
      <c r="R6" s="246"/>
      <c r="S6" s="246"/>
      <c r="T6" s="246"/>
      <c r="U6" s="246"/>
    </row>
    <row r="7" spans="1:21" ht="58.5" x14ac:dyDescent="0.4">
      <c r="A7" s="6" t="s">
        <v>61</v>
      </c>
      <c r="B7" s="47" t="s">
        <v>5</v>
      </c>
      <c r="C7" s="6" t="s">
        <v>6</v>
      </c>
      <c r="D7" s="6" t="s">
        <v>56</v>
      </c>
      <c r="E7" s="6" t="s">
        <v>225</v>
      </c>
      <c r="F7" s="29" t="s">
        <v>138</v>
      </c>
      <c r="G7" s="29" t="s">
        <v>139</v>
      </c>
      <c r="H7" s="6" t="s">
        <v>123</v>
      </c>
      <c r="I7" s="6" t="s">
        <v>137</v>
      </c>
      <c r="J7" s="6" t="s">
        <v>56</v>
      </c>
      <c r="K7" s="6" t="s">
        <v>226</v>
      </c>
      <c r="L7" s="29" t="s">
        <v>138</v>
      </c>
      <c r="M7" s="29" t="s">
        <v>139</v>
      </c>
      <c r="N7" s="6" t="s">
        <v>123</v>
      </c>
      <c r="O7" s="6" t="s">
        <v>137</v>
      </c>
      <c r="P7" s="6" t="s">
        <v>74</v>
      </c>
      <c r="Q7" s="6" t="s">
        <v>75</v>
      </c>
      <c r="R7" s="29" t="s">
        <v>138</v>
      </c>
      <c r="S7" s="29" t="s">
        <v>139</v>
      </c>
      <c r="T7" s="6" t="s">
        <v>123</v>
      </c>
      <c r="U7" s="6" t="s">
        <v>137</v>
      </c>
    </row>
    <row r="8" spans="1:21" ht="21.65" customHeight="1" x14ac:dyDescent="0.35">
      <c r="A8" s="59" t="s">
        <v>60</v>
      </c>
      <c r="B8" s="61" t="s">
        <v>19</v>
      </c>
      <c r="C8" s="59" t="s">
        <v>80</v>
      </c>
      <c r="D8" s="44" t="s">
        <v>186</v>
      </c>
      <c r="E8" s="169"/>
      <c r="F8" s="116">
        <f>Overview!$A$47*E8/1000</f>
        <v>0</v>
      </c>
      <c r="G8" s="116">
        <f>Overview!$B$47*E8/1000</f>
        <v>0</v>
      </c>
      <c r="H8" s="116">
        <f>Overview!$A$39*E8</f>
        <v>0</v>
      </c>
      <c r="I8" s="116">
        <f>Overview!$B$39*E8</f>
        <v>0</v>
      </c>
      <c r="J8" s="195" t="s">
        <v>188</v>
      </c>
      <c r="K8" s="5"/>
      <c r="L8" s="117">
        <f>Overview!$A$47*K8/1000</f>
        <v>0</v>
      </c>
      <c r="M8" s="117">
        <f>Overview!$B$47*K8/1000</f>
        <v>0</v>
      </c>
      <c r="N8" s="5">
        <f>Overview!$A$39*K8</f>
        <v>0</v>
      </c>
      <c r="O8" s="117">
        <f>Overview!$B$39*K8</f>
        <v>0</v>
      </c>
      <c r="P8" s="33">
        <f>E8-K8</f>
        <v>0</v>
      </c>
      <c r="Q8" s="118">
        <f>(E8-K8)*3.6</f>
        <v>0</v>
      </c>
      <c r="R8" s="118">
        <f t="shared" ref="R8:U9" si="0">F8-L8</f>
        <v>0</v>
      </c>
      <c r="S8" s="118">
        <f t="shared" si="0"/>
        <v>0</v>
      </c>
      <c r="T8" s="118">
        <f t="shared" si="0"/>
        <v>0</v>
      </c>
      <c r="U8" s="118">
        <f t="shared" si="0"/>
        <v>0</v>
      </c>
    </row>
    <row r="9" spans="1:21" ht="21.65" customHeight="1" x14ac:dyDescent="0.35">
      <c r="A9" s="59" t="s">
        <v>174</v>
      </c>
      <c r="B9" s="61" t="s">
        <v>19</v>
      </c>
      <c r="C9" s="59" t="s">
        <v>80</v>
      </c>
      <c r="D9" s="44" t="s">
        <v>175</v>
      </c>
      <c r="E9" s="169"/>
      <c r="F9" s="116">
        <f>Overview!$A$47*E9/1000</f>
        <v>0</v>
      </c>
      <c r="G9" s="116">
        <f>Overview!$B$47*E9/1000</f>
        <v>0</v>
      </c>
      <c r="H9" s="116">
        <f>Overview!$A$39*E9</f>
        <v>0</v>
      </c>
      <c r="I9" s="116">
        <f>Overview!$B$39*E9</f>
        <v>0</v>
      </c>
      <c r="J9" s="195" t="s">
        <v>187</v>
      </c>
      <c r="K9" s="5"/>
      <c r="L9" s="117">
        <f>Overview!$A$47*K9/1000</f>
        <v>0</v>
      </c>
      <c r="M9" s="117">
        <f>Overview!$B$47*K9/1000</f>
        <v>0</v>
      </c>
      <c r="N9" s="5">
        <f>Overview!$A$39*K9</f>
        <v>0</v>
      </c>
      <c r="O9" s="117">
        <f>Overview!$B$39*K9</f>
        <v>0</v>
      </c>
      <c r="P9" s="33">
        <f>E9-K9</f>
        <v>0</v>
      </c>
      <c r="Q9" s="118">
        <f>(E9-K9)*3.6</f>
        <v>0</v>
      </c>
      <c r="R9" s="118">
        <f t="shared" si="0"/>
        <v>0</v>
      </c>
      <c r="S9" s="118">
        <f t="shared" si="0"/>
        <v>0</v>
      </c>
      <c r="T9" s="118">
        <f t="shared" si="0"/>
        <v>0</v>
      </c>
      <c r="U9" s="118">
        <f t="shared" si="0"/>
        <v>0</v>
      </c>
    </row>
    <row r="10" spans="1:21" x14ac:dyDescent="0.35">
      <c r="A10" s="2"/>
      <c r="B10" s="13"/>
      <c r="C10" s="2"/>
      <c r="D10" s="2"/>
      <c r="E10" s="2"/>
      <c r="F10" s="2"/>
      <c r="G10" s="2"/>
      <c r="H10" s="2"/>
      <c r="I10" s="2"/>
      <c r="J10" s="2"/>
      <c r="K10" s="2"/>
      <c r="L10" s="2"/>
      <c r="M10" s="2"/>
      <c r="N10" s="2"/>
      <c r="O10" s="2"/>
      <c r="P10" s="2"/>
      <c r="Q10" s="2"/>
      <c r="R10" s="2"/>
      <c r="S10" s="2"/>
      <c r="T10" s="2"/>
      <c r="U10" s="2"/>
    </row>
    <row r="11" spans="1:21" x14ac:dyDescent="0.35">
      <c r="A11" s="2"/>
      <c r="B11" s="13"/>
      <c r="C11" s="2"/>
      <c r="D11" s="2"/>
      <c r="E11" s="2"/>
      <c r="F11" s="2"/>
      <c r="G11" s="2"/>
      <c r="H11" s="2"/>
      <c r="I11" s="2"/>
      <c r="J11" s="2"/>
      <c r="K11" s="2"/>
      <c r="L11" s="2"/>
      <c r="M11" s="2"/>
      <c r="N11" s="2"/>
      <c r="O11" s="2"/>
      <c r="P11" s="2"/>
      <c r="Q11" s="2"/>
      <c r="R11" s="2"/>
      <c r="S11" s="2"/>
      <c r="T11" s="2"/>
      <c r="U11" s="2"/>
    </row>
    <row r="12" spans="1:21" x14ac:dyDescent="0.35">
      <c r="A12" s="2"/>
      <c r="B12" s="13"/>
      <c r="C12" s="2"/>
      <c r="D12" s="2"/>
      <c r="E12" s="2"/>
      <c r="F12" s="2"/>
      <c r="G12" s="2"/>
      <c r="H12" s="2"/>
      <c r="I12" s="2"/>
      <c r="J12" s="2"/>
      <c r="K12" s="2"/>
      <c r="L12" s="2"/>
      <c r="M12" s="2"/>
      <c r="N12" s="2"/>
      <c r="O12" s="2"/>
      <c r="P12" s="2"/>
      <c r="Q12" s="2"/>
      <c r="R12" s="2"/>
      <c r="S12" s="2"/>
      <c r="T12" s="2"/>
      <c r="U12" s="2"/>
    </row>
    <row r="13" spans="1:21" x14ac:dyDescent="0.35">
      <c r="A13" s="2"/>
      <c r="B13" s="13"/>
      <c r="C13" s="2"/>
      <c r="D13" s="2"/>
      <c r="E13" s="2"/>
      <c r="F13" s="2"/>
      <c r="G13" s="2"/>
      <c r="H13" s="2"/>
      <c r="I13" s="2"/>
      <c r="J13" s="2"/>
      <c r="K13" s="2"/>
      <c r="L13" s="2"/>
      <c r="M13" s="2"/>
      <c r="N13" s="2"/>
      <c r="O13" s="2"/>
      <c r="P13" s="2"/>
      <c r="Q13" s="2"/>
      <c r="R13" s="2"/>
      <c r="S13" s="2"/>
      <c r="T13" s="2"/>
      <c r="U13" s="2"/>
    </row>
    <row r="14" spans="1:21" x14ac:dyDescent="0.35">
      <c r="A14" s="2"/>
      <c r="B14" s="13"/>
      <c r="C14" s="2"/>
      <c r="D14" s="2"/>
      <c r="E14" s="2"/>
      <c r="F14" s="2"/>
      <c r="G14" s="2"/>
      <c r="H14" s="2"/>
      <c r="I14" s="2"/>
      <c r="J14" s="2"/>
      <c r="K14" s="2"/>
      <c r="L14" s="2"/>
      <c r="M14" s="2"/>
      <c r="N14" s="2"/>
      <c r="O14" s="2"/>
      <c r="P14" s="2"/>
      <c r="Q14" s="2"/>
      <c r="R14" s="2"/>
      <c r="S14" s="2"/>
      <c r="T14" s="2"/>
      <c r="U14" s="2"/>
    </row>
    <row r="15" spans="1:21" x14ac:dyDescent="0.35">
      <c r="A15" s="2"/>
      <c r="B15" s="13"/>
      <c r="C15" s="2"/>
      <c r="D15" s="2"/>
      <c r="E15" s="2"/>
      <c r="F15" s="2"/>
      <c r="G15" s="2"/>
      <c r="H15" s="2"/>
      <c r="I15" s="2"/>
      <c r="J15" s="2"/>
      <c r="K15" s="2"/>
      <c r="L15" s="2"/>
      <c r="M15" s="2"/>
      <c r="N15" s="2"/>
      <c r="O15" s="2"/>
      <c r="P15" s="2"/>
      <c r="Q15" s="2"/>
      <c r="R15" s="2"/>
      <c r="S15" s="2"/>
      <c r="T15" s="2"/>
      <c r="U15" s="2"/>
    </row>
    <row r="16" spans="1:21" x14ac:dyDescent="0.35">
      <c r="A16" s="11"/>
      <c r="B16" s="99"/>
      <c r="C16" s="11"/>
      <c r="D16" s="11"/>
      <c r="E16" s="11"/>
      <c r="F16" s="11"/>
      <c r="G16" s="11"/>
      <c r="H16" s="11"/>
      <c r="I16" s="11"/>
      <c r="J16" s="11"/>
      <c r="K16" s="11"/>
      <c r="L16" s="11"/>
      <c r="M16" s="11"/>
      <c r="N16" s="11"/>
      <c r="O16" s="11"/>
      <c r="P16" s="11"/>
      <c r="Q16" s="11"/>
      <c r="R16" s="11"/>
      <c r="S16" s="11"/>
      <c r="T16" s="11"/>
      <c r="U16" s="11"/>
    </row>
    <row r="17" spans="1:21" ht="15" thickBot="1" x14ac:dyDescent="0.4">
      <c r="A17" s="39" t="s">
        <v>52</v>
      </c>
      <c r="B17" s="39"/>
      <c r="C17" s="39"/>
      <c r="D17" s="39"/>
      <c r="E17" s="55"/>
      <c r="F17" s="55"/>
      <c r="G17" s="55"/>
      <c r="H17" s="55"/>
      <c r="I17" s="55"/>
      <c r="J17" s="39"/>
      <c r="K17" s="39"/>
      <c r="L17" s="39"/>
      <c r="M17" s="39"/>
      <c r="N17" s="39"/>
      <c r="O17" s="39"/>
      <c r="P17" s="39">
        <f>SUM(P8:P16)</f>
        <v>0</v>
      </c>
      <c r="Q17" s="39">
        <f t="shared" ref="Q17:U17" si="1">SUM(Q8:Q16)</f>
        <v>0</v>
      </c>
      <c r="R17" s="39">
        <f t="shared" si="1"/>
        <v>0</v>
      </c>
      <c r="S17" s="39">
        <f t="shared" si="1"/>
        <v>0</v>
      </c>
      <c r="T17" s="39">
        <f t="shared" si="1"/>
        <v>0</v>
      </c>
      <c r="U17" s="39">
        <f t="shared" si="1"/>
        <v>0</v>
      </c>
    </row>
    <row r="18" spans="1:21" ht="15" thickTop="1" x14ac:dyDescent="0.35"/>
    <row r="24" spans="1:21" x14ac:dyDescent="0.35">
      <c r="A24" s="242" t="s">
        <v>99</v>
      </c>
      <c r="B24" s="243"/>
      <c r="C24" s="243"/>
      <c r="D24" s="243"/>
      <c r="E24" s="243"/>
      <c r="F24" s="243"/>
      <c r="G24" s="243"/>
      <c r="H24" s="244"/>
    </row>
    <row r="25" spans="1:21" ht="44" x14ac:dyDescent="0.4">
      <c r="A25" s="67" t="s">
        <v>227</v>
      </c>
      <c r="B25" s="67" t="s">
        <v>228</v>
      </c>
      <c r="C25" s="67" t="s">
        <v>229</v>
      </c>
      <c r="D25" s="70" t="s">
        <v>230</v>
      </c>
      <c r="E25" s="115" t="s">
        <v>135</v>
      </c>
      <c r="F25" s="115" t="s">
        <v>120</v>
      </c>
      <c r="G25" s="115" t="s">
        <v>121</v>
      </c>
      <c r="H25" s="68" t="s">
        <v>65</v>
      </c>
      <c r="I25" s="93" t="s">
        <v>111</v>
      </c>
      <c r="J25" s="69" t="s">
        <v>101</v>
      </c>
    </row>
    <row r="26" spans="1:21" ht="27.65" customHeight="1" x14ac:dyDescent="0.35">
      <c r="A26" s="158">
        <f>P17</f>
        <v>0</v>
      </c>
      <c r="B26" s="158">
        <f>Q17</f>
        <v>0</v>
      </c>
      <c r="C26" s="157" t="s">
        <v>28</v>
      </c>
      <c r="D26" s="135">
        <f>(A26*Overview!$A$32)+(B26*Overview!$D$32)</f>
        <v>0</v>
      </c>
      <c r="E26" s="158">
        <f>R17</f>
        <v>0</v>
      </c>
      <c r="F26" s="158">
        <f>T17</f>
        <v>0</v>
      </c>
      <c r="G26" s="158">
        <f>S17+U17</f>
        <v>0</v>
      </c>
      <c r="H26" s="135"/>
      <c r="I26" s="158">
        <f>IFERROR(H26/D26,0)</f>
        <v>0</v>
      </c>
      <c r="J26" s="2"/>
    </row>
    <row r="29" spans="1:21" ht="21" x14ac:dyDescent="0.5">
      <c r="A29" s="170"/>
    </row>
    <row r="38" spans="11:11" x14ac:dyDescent="0.35">
      <c r="K38" t="s">
        <v>136</v>
      </c>
    </row>
  </sheetData>
  <mergeCells count="4">
    <mergeCell ref="P6:U6"/>
    <mergeCell ref="D6:I6"/>
    <mergeCell ref="J6:O6"/>
    <mergeCell ref="A24:H24"/>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4DFBEBD1-5727-4148-B8EE-CAEF436D9F0A}">
          <x14:formula1>
            <xm:f>'Data Base'!#REF!</xm:f>
          </x14:formula1>
          <xm:sqref>B2:B5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447BA-488B-4CAB-8590-D4AD0080B253}">
  <sheetPr codeName="Sheet11"/>
  <dimension ref="A1:AL30"/>
  <sheetViews>
    <sheetView workbookViewId="0">
      <selection activeCell="D26" sqref="D26"/>
    </sheetView>
  </sheetViews>
  <sheetFormatPr defaultRowHeight="14.5" x14ac:dyDescent="0.35"/>
  <cols>
    <col min="1" max="1" width="19.81640625" customWidth="1"/>
    <col min="2" max="2" width="19.453125" customWidth="1"/>
    <col min="3" max="3" width="17.453125" customWidth="1"/>
    <col min="4" max="4" width="15.54296875" customWidth="1"/>
    <col min="5" max="5" width="18.81640625" customWidth="1"/>
    <col min="6" max="6" width="29" customWidth="1"/>
    <col min="7" max="7" width="18.453125" customWidth="1"/>
    <col min="8" max="8" width="17.54296875" customWidth="1"/>
    <col min="9" max="9" width="14.81640625" customWidth="1"/>
    <col min="10" max="10" width="17.81640625" customWidth="1"/>
    <col min="11" max="11" width="16.54296875" customWidth="1"/>
    <col min="12" max="13" width="17.1796875" customWidth="1"/>
    <col min="14" max="14" width="13.1796875" customWidth="1"/>
    <col min="15" max="15" width="14.81640625" customWidth="1"/>
    <col min="16" max="16" width="14.453125" customWidth="1"/>
    <col min="17" max="17" width="16" customWidth="1"/>
    <col min="18" max="18" width="17.81640625" customWidth="1"/>
    <col min="19" max="19" width="14.81640625" customWidth="1"/>
    <col min="20" max="20" width="15.7265625" customWidth="1"/>
    <col min="21" max="21" width="19.1796875" customWidth="1"/>
    <col min="22" max="22" width="14.1796875" customWidth="1"/>
    <col min="23" max="26" width="17.81640625" customWidth="1"/>
    <col min="27" max="27" width="14.81640625" customWidth="1"/>
    <col min="28" max="28" width="14.453125" customWidth="1"/>
    <col min="29" max="29" width="13.81640625" customWidth="1"/>
    <col min="30" max="30" width="12.81640625" customWidth="1"/>
    <col min="31" max="32" width="14.1796875" customWidth="1"/>
    <col min="33" max="35" width="13.54296875" customWidth="1"/>
    <col min="36" max="37" width="14.1796875" customWidth="1"/>
  </cols>
  <sheetData>
    <row r="1" spans="1:38" ht="26.15" customHeight="1" x14ac:dyDescent="0.45">
      <c r="A1" s="10" t="s">
        <v>113</v>
      </c>
    </row>
    <row r="2" spans="1:38" x14ac:dyDescent="0.35">
      <c r="E2" s="1" t="s">
        <v>12</v>
      </c>
    </row>
    <row r="3" spans="1:38" x14ac:dyDescent="0.35">
      <c r="E3" t="s">
        <v>98</v>
      </c>
    </row>
    <row r="4" spans="1:38" ht="18.5" x14ac:dyDescent="0.45">
      <c r="C4" s="56"/>
      <c r="D4" s="56"/>
      <c r="E4" s="56" t="s">
        <v>168</v>
      </c>
    </row>
    <row r="5" spans="1:38" ht="15" thickBot="1" x14ac:dyDescent="0.4"/>
    <row r="6" spans="1:38" ht="15" customHeight="1" thickBot="1" x14ac:dyDescent="0.4">
      <c r="A6" s="37"/>
      <c r="B6" s="37"/>
      <c r="C6" s="37"/>
      <c r="D6" s="37"/>
      <c r="E6" s="197" t="s">
        <v>32</v>
      </c>
      <c r="F6" s="198"/>
      <c r="G6" s="198"/>
      <c r="H6" s="198"/>
      <c r="I6" s="198"/>
      <c r="J6" s="198"/>
      <c r="K6" s="198"/>
      <c r="L6" s="198"/>
      <c r="M6" s="198"/>
      <c r="N6" s="198"/>
      <c r="O6" s="198"/>
      <c r="P6" s="198"/>
      <c r="Q6" s="198"/>
      <c r="R6" s="198"/>
      <c r="S6" s="199"/>
      <c r="T6" s="236" t="s">
        <v>33</v>
      </c>
      <c r="U6" s="237"/>
      <c r="V6" s="237"/>
      <c r="W6" s="237"/>
      <c r="X6" s="237"/>
      <c r="Y6" s="237"/>
      <c r="Z6" s="237"/>
      <c r="AA6" s="237"/>
      <c r="AB6" s="237"/>
      <c r="AC6" s="237"/>
      <c r="AD6" s="237"/>
      <c r="AE6" s="237"/>
      <c r="AF6" s="233" t="s">
        <v>38</v>
      </c>
      <c r="AG6" s="234"/>
      <c r="AH6" s="234"/>
      <c r="AI6" s="234"/>
      <c r="AJ6" s="234"/>
      <c r="AK6" s="235"/>
    </row>
    <row r="7" spans="1:38" s="1" customFormat="1" ht="74.150000000000006" customHeight="1" thickBot="1" x14ac:dyDescent="0.45">
      <c r="A7" s="131" t="s">
        <v>61</v>
      </c>
      <c r="B7" s="132" t="s">
        <v>5</v>
      </c>
      <c r="C7" s="132" t="s">
        <v>6</v>
      </c>
      <c r="D7" s="133" t="s">
        <v>140</v>
      </c>
      <c r="E7" s="52" t="s">
        <v>69</v>
      </c>
      <c r="F7" s="28" t="s">
        <v>62</v>
      </c>
      <c r="G7" s="29" t="s">
        <v>66</v>
      </c>
      <c r="H7" s="29" t="s">
        <v>64</v>
      </c>
      <c r="I7" s="29" t="s">
        <v>246</v>
      </c>
      <c r="J7" s="29" t="s">
        <v>209</v>
      </c>
      <c r="K7" s="200" t="s">
        <v>240</v>
      </c>
      <c r="L7" s="200" t="s">
        <v>241</v>
      </c>
      <c r="M7" s="29" t="s">
        <v>141</v>
      </c>
      <c r="N7" s="29" t="s">
        <v>171</v>
      </c>
      <c r="O7" s="29" t="s">
        <v>118</v>
      </c>
      <c r="P7" s="29" t="s">
        <v>58</v>
      </c>
      <c r="Q7" s="29" t="s">
        <v>238</v>
      </c>
      <c r="R7" s="30" t="s">
        <v>236</v>
      </c>
      <c r="S7" s="30" t="s">
        <v>144</v>
      </c>
      <c r="T7" s="28" t="s">
        <v>69</v>
      </c>
      <c r="U7" s="28" t="s">
        <v>62</v>
      </c>
      <c r="V7" s="29" t="s">
        <v>66</v>
      </c>
      <c r="W7" s="29" t="s">
        <v>64</v>
      </c>
      <c r="X7" s="29" t="s">
        <v>246</v>
      </c>
      <c r="Y7" s="29" t="s">
        <v>196</v>
      </c>
      <c r="Z7" s="29" t="s">
        <v>141</v>
      </c>
      <c r="AA7" s="29" t="s">
        <v>171</v>
      </c>
      <c r="AB7" s="29" t="s">
        <v>118</v>
      </c>
      <c r="AC7" s="29" t="s">
        <v>58</v>
      </c>
      <c r="AD7" s="30" t="s">
        <v>143</v>
      </c>
      <c r="AE7" s="159" t="s">
        <v>144</v>
      </c>
      <c r="AF7" s="28" t="s">
        <v>145</v>
      </c>
      <c r="AG7" s="29" t="s">
        <v>58</v>
      </c>
      <c r="AH7" s="200" t="s">
        <v>241</v>
      </c>
      <c r="AI7" s="30" t="s">
        <v>239</v>
      </c>
      <c r="AJ7" s="30" t="s">
        <v>143</v>
      </c>
      <c r="AK7" s="31" t="s">
        <v>144</v>
      </c>
      <c r="AL7" s="8"/>
    </row>
    <row r="8" spans="1:38" ht="29" x14ac:dyDescent="0.35">
      <c r="A8" s="127" t="s">
        <v>63</v>
      </c>
      <c r="B8" s="128" t="s">
        <v>19</v>
      </c>
      <c r="C8" s="129" t="s">
        <v>20</v>
      </c>
      <c r="D8" s="130">
        <v>500</v>
      </c>
      <c r="E8" s="152" t="s">
        <v>189</v>
      </c>
      <c r="F8" s="153" t="s">
        <v>122</v>
      </c>
      <c r="G8" s="21">
        <v>10</v>
      </c>
      <c r="H8" s="21">
        <v>1200</v>
      </c>
      <c r="I8" s="116">
        <f>H8*G8/0.9</f>
        <v>13333.333333333332</v>
      </c>
      <c r="J8" s="154">
        <f>I8/1000</f>
        <v>13.333333333333332</v>
      </c>
      <c r="K8" s="168" t="s">
        <v>28</v>
      </c>
      <c r="L8" s="168" t="s">
        <v>28</v>
      </c>
      <c r="M8" s="168">
        <v>30</v>
      </c>
      <c r="N8" s="21">
        <v>200</v>
      </c>
      <c r="O8" s="21">
        <f>50*5</f>
        <v>250</v>
      </c>
      <c r="P8" s="183">
        <f>G8*H8*M8*N8*O8/60/60/1000</f>
        <v>5000</v>
      </c>
      <c r="Q8" s="168" t="s">
        <v>28</v>
      </c>
      <c r="R8" s="183">
        <f>Overview!$A$39*P8</f>
        <v>1150</v>
      </c>
      <c r="S8" s="184">
        <f>Overview!$B$39*P8</f>
        <v>250</v>
      </c>
      <c r="T8" s="152" t="s">
        <v>44</v>
      </c>
      <c r="U8" s="113" t="s">
        <v>142</v>
      </c>
      <c r="V8" s="5">
        <v>10</v>
      </c>
      <c r="W8" s="117">
        <v>850</v>
      </c>
      <c r="X8" s="188">
        <f>W8*V8/0.9</f>
        <v>9444.4444444444434</v>
      </c>
      <c r="Y8" s="218">
        <f>X8/1000</f>
        <v>9.4444444444444429</v>
      </c>
      <c r="Z8" s="151">
        <v>30</v>
      </c>
      <c r="AA8" s="5">
        <v>200</v>
      </c>
      <c r="AB8" s="5">
        <f>50*5</f>
        <v>250</v>
      </c>
      <c r="AC8" s="188">
        <f>V8*W8*Z8*AA8*AB8/60/60/1000</f>
        <v>3541.6666666666665</v>
      </c>
      <c r="AD8" s="117">
        <f>Overview!$A$39*AC8</f>
        <v>814.58333333333337</v>
      </c>
      <c r="AE8" s="208">
        <f>Overview!$B$39*AC8</f>
        <v>177.08333333333334</v>
      </c>
      <c r="AF8" s="134">
        <f>J8-Y8</f>
        <v>3.8888888888888893</v>
      </c>
      <c r="AG8" s="185">
        <f>P8-AC8</f>
        <v>1458.3333333333335</v>
      </c>
      <c r="AH8" s="203" t="s">
        <v>28</v>
      </c>
      <c r="AI8" s="203" t="s">
        <v>28</v>
      </c>
      <c r="AJ8" s="185">
        <f t="shared" ref="AJ8:AK9" si="0">R8-AD8</f>
        <v>335.41666666666663</v>
      </c>
      <c r="AK8" s="209">
        <f t="shared" si="0"/>
        <v>72.916666666666657</v>
      </c>
    </row>
    <row r="9" spans="1:38" ht="28" customHeight="1" x14ac:dyDescent="0.35">
      <c r="A9" s="127" t="s">
        <v>169</v>
      </c>
      <c r="B9" s="128" t="s">
        <v>19</v>
      </c>
      <c r="C9" s="129" t="s">
        <v>20</v>
      </c>
      <c r="D9" s="130">
        <v>500</v>
      </c>
      <c r="E9" s="152" t="s">
        <v>45</v>
      </c>
      <c r="F9" s="153" t="s">
        <v>170</v>
      </c>
      <c r="G9" s="21">
        <v>10</v>
      </c>
      <c r="H9" s="21">
        <v>1500</v>
      </c>
      <c r="I9" s="116">
        <f>H9*G9/0.9</f>
        <v>16666.666666666668</v>
      </c>
      <c r="J9" s="154">
        <f>I9/1000</f>
        <v>16.666666666666668</v>
      </c>
      <c r="K9" s="168" t="s">
        <v>28</v>
      </c>
      <c r="L9" s="168" t="s">
        <v>28</v>
      </c>
      <c r="M9" s="168" t="s">
        <v>28</v>
      </c>
      <c r="N9" s="21">
        <v>8</v>
      </c>
      <c r="O9" s="21">
        <f>50*5</f>
        <v>250</v>
      </c>
      <c r="P9" s="183">
        <f>G9*H9*N9*O9/1000</f>
        <v>30000</v>
      </c>
      <c r="Q9" s="168" t="s">
        <v>28</v>
      </c>
      <c r="R9" s="183">
        <f>Overview!$A$39*P9</f>
        <v>6900</v>
      </c>
      <c r="S9" s="184">
        <f>Overview!$B$39*P9</f>
        <v>1500</v>
      </c>
      <c r="T9" s="152" t="s">
        <v>45</v>
      </c>
      <c r="U9" s="113" t="s">
        <v>210</v>
      </c>
      <c r="V9" s="5">
        <v>10</v>
      </c>
      <c r="W9" s="117">
        <v>850</v>
      </c>
      <c r="X9" s="188">
        <f>W9*V9/0.9</f>
        <v>9444.4444444444434</v>
      </c>
      <c r="Y9" s="218">
        <f>X9/1000</f>
        <v>9.4444444444444429</v>
      </c>
      <c r="Z9" s="151" t="s">
        <v>28</v>
      </c>
      <c r="AA9" s="5">
        <v>8</v>
      </c>
      <c r="AB9" s="5">
        <f>50*5</f>
        <v>250</v>
      </c>
      <c r="AC9" s="188">
        <f>V9*W9*AA9*AB9/1000</f>
        <v>17000</v>
      </c>
      <c r="AD9" s="117">
        <f>Overview!$A$39*AC9</f>
        <v>3910</v>
      </c>
      <c r="AE9" s="208">
        <f>Overview!$B$39*AC9</f>
        <v>850</v>
      </c>
      <c r="AF9" s="134">
        <f>J9-Y9</f>
        <v>7.222222222222225</v>
      </c>
      <c r="AG9" s="185">
        <f>P9-AC9</f>
        <v>13000</v>
      </c>
      <c r="AH9" s="203" t="s">
        <v>28</v>
      </c>
      <c r="AI9" s="203" t="s">
        <v>28</v>
      </c>
      <c r="AJ9" s="185">
        <f t="shared" si="0"/>
        <v>2990</v>
      </c>
      <c r="AK9" s="209">
        <f t="shared" si="0"/>
        <v>650</v>
      </c>
    </row>
    <row r="10" spans="1:38" ht="28" customHeight="1" x14ac:dyDescent="0.35">
      <c r="A10" s="127" t="s">
        <v>232</v>
      </c>
      <c r="B10" s="128" t="s">
        <v>233</v>
      </c>
      <c r="C10" s="129" t="s">
        <v>234</v>
      </c>
      <c r="D10" s="207" t="s">
        <v>28</v>
      </c>
      <c r="E10" s="152" t="s">
        <v>231</v>
      </c>
      <c r="F10" s="202" t="s">
        <v>235</v>
      </c>
      <c r="G10" s="21">
        <v>1</v>
      </c>
      <c r="H10" s="168" t="s">
        <v>28</v>
      </c>
      <c r="I10" s="201" t="s">
        <v>28</v>
      </c>
      <c r="J10" s="168" t="s">
        <v>28</v>
      </c>
      <c r="K10" s="116">
        <v>32</v>
      </c>
      <c r="L10" s="116">
        <f>K10*40</f>
        <v>1280</v>
      </c>
      <c r="M10" s="168" t="s">
        <v>28</v>
      </c>
      <c r="N10" s="168" t="s">
        <v>28</v>
      </c>
      <c r="O10" s="168" t="s">
        <v>28</v>
      </c>
      <c r="P10" s="168" t="s">
        <v>28</v>
      </c>
      <c r="Q10" s="183">
        <f>K10*Overview!$B$51</f>
        <v>1939.2</v>
      </c>
      <c r="R10" s="168" t="s">
        <v>28</v>
      </c>
      <c r="S10" s="168" t="s">
        <v>28</v>
      </c>
      <c r="T10" s="152" t="s">
        <v>231</v>
      </c>
      <c r="U10" s="113" t="s">
        <v>237</v>
      </c>
      <c r="V10" s="5">
        <v>1</v>
      </c>
      <c r="W10" s="117">
        <v>3600</v>
      </c>
      <c r="X10" s="151" t="s">
        <v>28</v>
      </c>
      <c r="Y10" s="151" t="s">
        <v>28</v>
      </c>
      <c r="Z10" s="151" t="s">
        <v>28</v>
      </c>
      <c r="AA10" s="151" t="s">
        <v>28</v>
      </c>
      <c r="AB10" s="151" t="s">
        <v>28</v>
      </c>
      <c r="AC10" s="117">
        <v>1617</v>
      </c>
      <c r="AD10" s="117">
        <f>Overview!$A$39*AC10</f>
        <v>371.91</v>
      </c>
      <c r="AE10" s="208">
        <f>Overview!$B$39*AC10</f>
        <v>80.850000000000009</v>
      </c>
      <c r="AF10" s="210" t="s">
        <v>28</v>
      </c>
      <c r="AG10" s="185">
        <f>AC10</f>
        <v>1617</v>
      </c>
      <c r="AH10" s="185">
        <f>-L10</f>
        <v>-1280</v>
      </c>
      <c r="AI10" s="185">
        <f>-Q10</f>
        <v>-1939.2</v>
      </c>
      <c r="AJ10" s="185">
        <f>AD10</f>
        <v>371.91</v>
      </c>
      <c r="AK10" s="209">
        <f>AE10</f>
        <v>80.850000000000009</v>
      </c>
    </row>
    <row r="11" spans="1:38" x14ac:dyDescent="0.35">
      <c r="A11" s="23"/>
      <c r="B11" s="2"/>
      <c r="C11" s="14"/>
      <c r="D11" s="125"/>
      <c r="E11" s="49"/>
      <c r="F11" s="23"/>
      <c r="G11" s="2"/>
      <c r="H11" s="2"/>
      <c r="I11" s="2"/>
      <c r="J11" s="2"/>
      <c r="K11" s="2"/>
      <c r="L11" s="2"/>
      <c r="M11" s="2"/>
      <c r="N11" s="2"/>
      <c r="O11" s="2"/>
      <c r="P11" s="2"/>
      <c r="Q11" s="2"/>
      <c r="R11" s="2"/>
      <c r="S11" s="14"/>
      <c r="T11" s="23"/>
      <c r="U11" s="2"/>
      <c r="V11" s="2"/>
      <c r="W11" s="158"/>
      <c r="X11" s="167"/>
      <c r="Y11" s="2"/>
      <c r="Z11" s="2"/>
      <c r="AA11" s="2"/>
      <c r="AB11" s="2"/>
      <c r="AC11" s="2"/>
      <c r="AD11" s="2"/>
      <c r="AE11" s="13"/>
      <c r="AF11" s="23"/>
      <c r="AG11" s="167"/>
      <c r="AH11" s="167"/>
      <c r="AI11" s="167"/>
      <c r="AJ11" s="167"/>
      <c r="AK11" s="211"/>
    </row>
    <row r="12" spans="1:38" x14ac:dyDescent="0.35">
      <c r="A12" s="23"/>
      <c r="B12" s="2"/>
      <c r="C12" s="14"/>
      <c r="D12" s="125"/>
      <c r="E12" s="49"/>
      <c r="F12" s="23"/>
      <c r="G12" s="2"/>
      <c r="H12" s="2"/>
      <c r="I12" s="2"/>
      <c r="J12" s="2"/>
      <c r="K12" s="2"/>
      <c r="L12" s="2"/>
      <c r="M12" s="2"/>
      <c r="N12" s="2"/>
      <c r="O12" s="2"/>
      <c r="P12" s="2"/>
      <c r="Q12" s="2"/>
      <c r="R12" s="2"/>
      <c r="S12" s="14"/>
      <c r="T12" s="23"/>
      <c r="U12" s="2"/>
      <c r="V12" s="2"/>
      <c r="W12" s="158"/>
      <c r="X12" s="167"/>
      <c r="Y12" s="2"/>
      <c r="Z12" s="2"/>
      <c r="AA12" s="2"/>
      <c r="AB12" s="2"/>
      <c r="AC12" s="2"/>
      <c r="AD12" s="2"/>
      <c r="AE12" s="13"/>
      <c r="AF12" s="23"/>
      <c r="AG12" s="167"/>
      <c r="AH12" s="167"/>
      <c r="AI12" s="167"/>
      <c r="AJ12" s="167"/>
      <c r="AK12" s="211"/>
    </row>
    <row r="13" spans="1:38" x14ac:dyDescent="0.35">
      <c r="A13" s="23"/>
      <c r="B13" s="2"/>
      <c r="C13" s="14"/>
      <c r="D13" s="125"/>
      <c r="E13" s="49"/>
      <c r="F13" s="23"/>
      <c r="G13" s="2"/>
      <c r="H13" s="2"/>
      <c r="I13" s="2"/>
      <c r="J13" s="2"/>
      <c r="K13" s="2"/>
      <c r="L13" s="2"/>
      <c r="M13" s="2"/>
      <c r="N13" s="2"/>
      <c r="O13" s="2"/>
      <c r="P13" s="2"/>
      <c r="Q13" s="2"/>
      <c r="R13" s="2"/>
      <c r="S13" s="14"/>
      <c r="T13" s="23"/>
      <c r="U13" s="2"/>
      <c r="V13" s="2"/>
      <c r="W13" s="158"/>
      <c r="X13" s="167"/>
      <c r="Y13" s="2"/>
      <c r="Z13" s="2"/>
      <c r="AA13" s="2"/>
      <c r="AB13" s="2"/>
      <c r="AC13" s="2"/>
      <c r="AD13" s="2"/>
      <c r="AE13" s="13"/>
      <c r="AF13" s="23"/>
      <c r="AG13" s="167"/>
      <c r="AH13" s="167"/>
      <c r="AI13" s="167"/>
      <c r="AJ13" s="167"/>
      <c r="AK13" s="211"/>
    </row>
    <row r="14" spans="1:38" x14ac:dyDescent="0.35">
      <c r="A14" s="23"/>
      <c r="B14" s="2"/>
      <c r="C14" s="14"/>
      <c r="D14" s="125"/>
      <c r="E14" s="49"/>
      <c r="F14" s="23"/>
      <c r="G14" s="2"/>
      <c r="H14" s="2"/>
      <c r="I14" s="2"/>
      <c r="J14" s="2"/>
      <c r="K14" s="2"/>
      <c r="L14" s="2"/>
      <c r="M14" s="2"/>
      <c r="N14" s="2"/>
      <c r="O14" s="2"/>
      <c r="P14" s="2"/>
      <c r="Q14" s="2"/>
      <c r="R14" s="2"/>
      <c r="S14" s="14"/>
      <c r="T14" s="23"/>
      <c r="U14" s="2"/>
      <c r="V14" s="2"/>
      <c r="W14" s="158"/>
      <c r="X14" s="167"/>
      <c r="Y14" s="2"/>
      <c r="Z14" s="2"/>
      <c r="AA14" s="2"/>
      <c r="AB14" s="2"/>
      <c r="AC14" s="2"/>
      <c r="AD14" s="2"/>
      <c r="AE14" s="13"/>
      <c r="AF14" s="23"/>
      <c r="AG14" s="167"/>
      <c r="AH14" s="167"/>
      <c r="AI14" s="167"/>
      <c r="AJ14" s="167"/>
      <c r="AK14" s="211"/>
    </row>
    <row r="15" spans="1:38" x14ac:dyDescent="0.35">
      <c r="A15" s="23"/>
      <c r="B15" s="2"/>
      <c r="C15" s="14"/>
      <c r="D15" s="125"/>
      <c r="E15" s="49"/>
      <c r="F15" s="23"/>
      <c r="G15" s="2"/>
      <c r="H15" s="2"/>
      <c r="I15" s="2"/>
      <c r="J15" s="2"/>
      <c r="K15" s="2"/>
      <c r="L15" s="2"/>
      <c r="M15" s="2"/>
      <c r="N15" s="2"/>
      <c r="O15" s="2"/>
      <c r="P15" s="2"/>
      <c r="Q15" s="2"/>
      <c r="R15" s="2"/>
      <c r="S15" s="14"/>
      <c r="T15" s="23"/>
      <c r="U15" s="2"/>
      <c r="V15" s="2"/>
      <c r="W15" s="158"/>
      <c r="X15" s="167"/>
      <c r="Y15" s="2"/>
      <c r="Z15" s="2"/>
      <c r="AA15" s="2"/>
      <c r="AB15" s="2"/>
      <c r="AC15" s="2"/>
      <c r="AD15" s="2"/>
      <c r="AE15" s="13"/>
      <c r="AF15" s="23"/>
      <c r="AG15" s="167"/>
      <c r="AH15" s="167"/>
      <c r="AI15" s="167"/>
      <c r="AJ15" s="167"/>
      <c r="AK15" s="211"/>
    </row>
    <row r="16" spans="1:38" x14ac:dyDescent="0.35">
      <c r="A16" s="23"/>
      <c r="B16" s="2"/>
      <c r="C16" s="14"/>
      <c r="D16" s="125"/>
      <c r="E16" s="49"/>
      <c r="F16" s="23"/>
      <c r="G16" s="2"/>
      <c r="H16" s="2"/>
      <c r="I16" s="2"/>
      <c r="J16" s="2"/>
      <c r="K16" s="2"/>
      <c r="L16" s="2"/>
      <c r="M16" s="2"/>
      <c r="N16" s="2"/>
      <c r="O16" s="2"/>
      <c r="P16" s="2"/>
      <c r="Q16" s="2"/>
      <c r="R16" s="2"/>
      <c r="S16" s="14"/>
      <c r="T16" s="23"/>
      <c r="U16" s="2"/>
      <c r="V16" s="2"/>
      <c r="W16" s="158"/>
      <c r="X16" s="167"/>
      <c r="Y16" s="2"/>
      <c r="Z16" s="2"/>
      <c r="AA16" s="2"/>
      <c r="AB16" s="2"/>
      <c r="AC16" s="2"/>
      <c r="AD16" s="2"/>
      <c r="AE16" s="13"/>
      <c r="AF16" s="23"/>
      <c r="AG16" s="167"/>
      <c r="AH16" s="167"/>
      <c r="AI16" s="167"/>
      <c r="AJ16" s="167"/>
      <c r="AK16" s="211"/>
    </row>
    <row r="17" spans="1:37" x14ac:dyDescent="0.35">
      <c r="A17" s="23"/>
      <c r="B17" s="2"/>
      <c r="C17" s="14"/>
      <c r="D17" s="125"/>
      <c r="E17" s="49"/>
      <c r="F17" s="23"/>
      <c r="G17" s="2"/>
      <c r="H17" s="2"/>
      <c r="I17" s="2"/>
      <c r="J17" s="2"/>
      <c r="K17" s="2"/>
      <c r="L17" s="2"/>
      <c r="M17" s="2"/>
      <c r="N17" s="2"/>
      <c r="O17" s="2"/>
      <c r="P17" s="2"/>
      <c r="Q17" s="2"/>
      <c r="R17" s="2"/>
      <c r="S17" s="14"/>
      <c r="T17" s="23"/>
      <c r="U17" s="2"/>
      <c r="V17" s="2"/>
      <c r="W17" s="158"/>
      <c r="X17" s="167"/>
      <c r="Y17" s="2"/>
      <c r="Z17" s="2"/>
      <c r="AA17" s="2"/>
      <c r="AB17" s="2"/>
      <c r="AC17" s="2"/>
      <c r="AD17" s="2"/>
      <c r="AE17" s="13"/>
      <c r="AF17" s="23"/>
      <c r="AG17" s="167"/>
      <c r="AH17" s="167"/>
      <c r="AI17" s="167"/>
      <c r="AJ17" s="167"/>
      <c r="AK17" s="211"/>
    </row>
    <row r="18" spans="1:37" ht="15" thickBot="1" x14ac:dyDescent="0.4">
      <c r="A18" s="24"/>
      <c r="B18" s="15"/>
      <c r="C18" s="16"/>
      <c r="D18" s="126"/>
      <c r="E18" s="50"/>
      <c r="F18" s="24"/>
      <c r="G18" s="15"/>
      <c r="H18" s="15"/>
      <c r="I18" s="15"/>
      <c r="J18" s="15"/>
      <c r="K18" s="15"/>
      <c r="L18" s="15"/>
      <c r="M18" s="15"/>
      <c r="N18" s="15"/>
      <c r="O18" s="15"/>
      <c r="P18" s="15"/>
      <c r="Q18" s="15"/>
      <c r="R18" s="15"/>
      <c r="S18" s="16"/>
      <c r="T18" s="24"/>
      <c r="U18" s="15"/>
      <c r="V18" s="15"/>
      <c r="W18" s="15"/>
      <c r="X18" s="15"/>
      <c r="Y18" s="15"/>
      <c r="Z18" s="15"/>
      <c r="AA18" s="15"/>
      <c r="AB18" s="15"/>
      <c r="AC18" s="15"/>
      <c r="AD18" s="15"/>
      <c r="AE18" s="161"/>
      <c r="AF18" s="24"/>
      <c r="AG18" s="186"/>
      <c r="AH18" s="186"/>
      <c r="AI18" s="186"/>
      <c r="AJ18" s="186"/>
      <c r="AK18" s="212"/>
    </row>
    <row r="19" spans="1:37" ht="15" thickBot="1" x14ac:dyDescent="0.4">
      <c r="A19" s="35" t="s">
        <v>52</v>
      </c>
      <c r="B19" s="34"/>
      <c r="C19" s="34"/>
      <c r="D19" s="34"/>
      <c r="E19" s="34"/>
      <c r="F19" s="34"/>
      <c r="G19" s="34"/>
      <c r="H19" s="34"/>
      <c r="I19" s="34"/>
      <c r="J19" s="35"/>
      <c r="K19" s="34"/>
      <c r="L19" s="35"/>
      <c r="M19" s="35"/>
      <c r="N19" s="35"/>
      <c r="O19" s="34"/>
      <c r="P19" s="34"/>
      <c r="Q19" s="34"/>
      <c r="R19" s="34"/>
      <c r="S19" s="34"/>
      <c r="T19" s="34"/>
      <c r="U19" s="34"/>
      <c r="V19" s="34"/>
      <c r="W19" s="34"/>
      <c r="X19" s="34"/>
      <c r="Y19" s="34"/>
      <c r="Z19" s="34"/>
      <c r="AA19" s="34"/>
      <c r="AB19" s="34"/>
      <c r="AC19" s="34"/>
      <c r="AD19" s="155"/>
      <c r="AE19" s="187"/>
      <c r="AF19" s="219">
        <f>SUM(AF8:AF18)</f>
        <v>11.111111111111114</v>
      </c>
      <c r="AG19" s="155">
        <f t="shared" ref="AG19:AK19" si="1">SUM(AG8:AG18)</f>
        <v>16075.333333333334</v>
      </c>
      <c r="AH19" s="155">
        <f t="shared" si="1"/>
        <v>-1280</v>
      </c>
      <c r="AI19" s="155">
        <f t="shared" si="1"/>
        <v>-1939.2</v>
      </c>
      <c r="AJ19" s="155">
        <f t="shared" si="1"/>
        <v>3697.3266666666664</v>
      </c>
      <c r="AK19" s="155">
        <f t="shared" si="1"/>
        <v>803.76666666666665</v>
      </c>
    </row>
    <row r="20" spans="1:37" ht="15" thickTop="1" x14ac:dyDescent="0.35">
      <c r="A20" s="1"/>
      <c r="L20" s="1"/>
      <c r="M20" s="1"/>
      <c r="N20" s="1"/>
    </row>
    <row r="24" spans="1:37" ht="20.149999999999999" customHeight="1" x14ac:dyDescent="0.35">
      <c r="A24" s="204" t="s">
        <v>99</v>
      </c>
      <c r="B24" s="205"/>
      <c r="C24" s="205"/>
      <c r="D24" s="205"/>
      <c r="E24" s="205"/>
      <c r="F24" s="205"/>
      <c r="G24" s="206"/>
    </row>
    <row r="25" spans="1:37" ht="46" customHeight="1" x14ac:dyDescent="0.4">
      <c r="A25" s="67" t="s">
        <v>211</v>
      </c>
      <c r="B25" s="67" t="s">
        <v>199</v>
      </c>
      <c r="C25" s="67" t="s">
        <v>245</v>
      </c>
      <c r="D25" s="70" t="s">
        <v>76</v>
      </c>
      <c r="E25" s="110" t="s">
        <v>135</v>
      </c>
      <c r="F25" s="110" t="s">
        <v>120</v>
      </c>
      <c r="G25" s="111" t="s">
        <v>121</v>
      </c>
      <c r="H25" s="68" t="s">
        <v>65</v>
      </c>
      <c r="I25" s="93" t="s">
        <v>242</v>
      </c>
      <c r="J25" s="69" t="s">
        <v>101</v>
      </c>
    </row>
    <row r="26" spans="1:37" ht="37" customHeight="1" x14ac:dyDescent="0.35">
      <c r="A26" s="158">
        <f>AG19</f>
        <v>16075.333333333334</v>
      </c>
      <c r="B26" s="157">
        <f>AF19</f>
        <v>11.111111111111114</v>
      </c>
      <c r="C26" s="157">
        <f>AH19</f>
        <v>-1280</v>
      </c>
      <c r="D26" s="135">
        <f>A26*Overview!$A$32+B26*Overview!$B$32+C26*Overview!H32</f>
        <v>2254.3888888888887</v>
      </c>
      <c r="E26" s="135">
        <f>AI19</f>
        <v>-1939.2</v>
      </c>
      <c r="F26" s="158">
        <f>AJ19</f>
        <v>3697.3266666666664</v>
      </c>
      <c r="G26" s="158">
        <f>AK19</f>
        <v>803.76666666666665</v>
      </c>
      <c r="H26" s="135"/>
      <c r="I26" s="158">
        <f>IFERROR(H26/B26,0)</f>
        <v>0</v>
      </c>
      <c r="J26" s="2"/>
    </row>
    <row r="27" spans="1:37" x14ac:dyDescent="0.35">
      <c r="J27" s="1"/>
    </row>
    <row r="28" spans="1:37" ht="21" x14ac:dyDescent="0.5">
      <c r="A28" s="170"/>
    </row>
    <row r="29" spans="1:37" x14ac:dyDescent="0.35">
      <c r="A29" s="3"/>
    </row>
    <row r="30" spans="1:37" x14ac:dyDescent="0.35">
      <c r="B30" s="94"/>
    </row>
  </sheetData>
  <mergeCells count="2">
    <mergeCell ref="AF6:AK6"/>
    <mergeCell ref="T6:AE6"/>
  </mergeCells>
  <phoneticPr fontId="3" type="noConversion"/>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67D25FBE-8ECC-4E08-BF75-7110BA376E80}">
          <x14:formula1>
            <xm:f>'Data Base'!#REF!</xm:f>
          </x14:formula1>
          <xm:sqref>B2:B3 A4</xm:sqref>
        </x14:dataValidation>
        <x14:dataValidation type="list" allowBlank="1" showInputMessage="1" showErrorMessage="1" xr:uid="{52A0C671-4462-4145-A188-CE3ECA9912FF}">
          <x14:formula1>
            <xm:f>'Data Base'!$B$4:$B$18</xm:f>
          </x14:formula1>
          <xm:sqref>E35:E37 E8:E18 T8:T10 S11:S18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2B774-71D6-42F8-97EA-475866CFE2C2}">
  <sheetPr codeName="Sheet4"/>
  <dimension ref="A1:Y71"/>
  <sheetViews>
    <sheetView topLeftCell="C9" workbookViewId="0">
      <selection activeCell="D22" sqref="D22"/>
    </sheetView>
  </sheetViews>
  <sheetFormatPr defaultRowHeight="14.5" x14ac:dyDescent="0.35"/>
  <cols>
    <col min="1" max="1" width="28.81640625" customWidth="1"/>
    <col min="2" max="2" width="20.54296875" customWidth="1"/>
    <col min="3" max="3" width="16.54296875" customWidth="1"/>
    <col min="4" max="4" width="38.1796875" customWidth="1"/>
    <col min="5" max="10" width="23.54296875" customWidth="1"/>
    <col min="11" max="11" width="24.54296875" customWidth="1"/>
    <col min="12" max="12" width="32.453125" customWidth="1"/>
    <col min="13" max="13" width="15" customWidth="1"/>
    <col min="14" max="14" width="19.81640625" customWidth="1"/>
    <col min="15" max="15" width="23.453125" customWidth="1"/>
    <col min="16" max="17" width="21.1796875" customWidth="1"/>
    <col min="18" max="18" width="19.81640625" customWidth="1"/>
    <col min="19" max="21" width="21.1796875" customWidth="1"/>
    <col min="22" max="22" width="18.7265625" customWidth="1"/>
    <col min="23" max="23" width="18" customWidth="1"/>
    <col min="24" max="24" width="19.1796875" customWidth="1"/>
    <col min="25" max="25" width="18.7265625" customWidth="1"/>
    <col min="26" max="26" width="20.1796875" customWidth="1"/>
    <col min="27" max="27" width="14.1796875" customWidth="1"/>
    <col min="28" max="28" width="13.1796875" customWidth="1"/>
  </cols>
  <sheetData>
    <row r="1" spans="1:25" ht="18.5" x14ac:dyDescent="0.45">
      <c r="A1" s="10" t="s">
        <v>14</v>
      </c>
      <c r="B1" s="10"/>
    </row>
    <row r="2" spans="1:25" x14ac:dyDescent="0.35">
      <c r="D2" s="1" t="s">
        <v>12</v>
      </c>
    </row>
    <row r="3" spans="1:25" ht="18.5" x14ac:dyDescent="0.45">
      <c r="A3" s="10"/>
      <c r="B3" s="10"/>
      <c r="D3" t="s">
        <v>98</v>
      </c>
    </row>
    <row r="4" spans="1:25" ht="18.5" x14ac:dyDescent="0.45">
      <c r="A4" s="3"/>
      <c r="B4" s="3"/>
      <c r="D4" s="56" t="s">
        <v>168</v>
      </c>
    </row>
    <row r="5" spans="1:25" x14ac:dyDescent="0.35">
      <c r="A5" s="3"/>
      <c r="B5" s="3"/>
    </row>
    <row r="6" spans="1:25" ht="15" thickBot="1" x14ac:dyDescent="0.4">
      <c r="A6" s="3"/>
      <c r="B6" s="3"/>
      <c r="D6" s="247" t="s">
        <v>32</v>
      </c>
      <c r="E6" s="248"/>
      <c r="F6" s="248"/>
      <c r="G6" s="248"/>
      <c r="H6" s="248"/>
      <c r="I6" s="248"/>
      <c r="J6" s="248"/>
      <c r="K6" s="249"/>
      <c r="L6" s="256" t="s">
        <v>33</v>
      </c>
      <c r="M6" s="257"/>
      <c r="N6" s="257"/>
      <c r="O6" s="257"/>
      <c r="P6" s="257"/>
      <c r="Q6" s="257"/>
      <c r="R6" s="257"/>
      <c r="S6" s="258"/>
      <c r="T6" s="253" t="s">
        <v>38</v>
      </c>
      <c r="U6" s="254"/>
      <c r="V6" s="254"/>
      <c r="W6" s="254"/>
      <c r="X6" s="254"/>
      <c r="Y6" s="255"/>
    </row>
    <row r="7" spans="1:25" ht="59.15" customHeight="1" x14ac:dyDescent="0.4">
      <c r="A7" s="25" t="s">
        <v>61</v>
      </c>
      <c r="B7" s="26" t="s">
        <v>5</v>
      </c>
      <c r="C7" s="27" t="s">
        <v>6</v>
      </c>
      <c r="D7" s="6" t="s">
        <v>56</v>
      </c>
      <c r="E7" s="6" t="s">
        <v>212</v>
      </c>
      <c r="F7" s="6" t="s">
        <v>190</v>
      </c>
      <c r="G7" s="6" t="s">
        <v>193</v>
      </c>
      <c r="H7" s="29" t="s">
        <v>138</v>
      </c>
      <c r="I7" s="29" t="s">
        <v>139</v>
      </c>
      <c r="J7" s="6" t="s">
        <v>191</v>
      </c>
      <c r="K7" s="6" t="s">
        <v>192</v>
      </c>
      <c r="L7" s="6" t="s">
        <v>56</v>
      </c>
      <c r="M7" s="6" t="s">
        <v>212</v>
      </c>
      <c r="N7" s="6" t="s">
        <v>213</v>
      </c>
      <c r="O7" s="6" t="s">
        <v>193</v>
      </c>
      <c r="P7" s="29" t="s">
        <v>125</v>
      </c>
      <c r="Q7" s="29" t="s">
        <v>126</v>
      </c>
      <c r="R7" s="6" t="s">
        <v>191</v>
      </c>
      <c r="S7" s="6" t="s">
        <v>192</v>
      </c>
      <c r="T7" s="6" t="s">
        <v>190</v>
      </c>
      <c r="U7" s="6" t="s">
        <v>193</v>
      </c>
      <c r="V7" s="29" t="s">
        <v>125</v>
      </c>
      <c r="W7" s="29" t="s">
        <v>126</v>
      </c>
      <c r="X7" s="6" t="s">
        <v>191</v>
      </c>
      <c r="Y7" s="6" t="s">
        <v>192</v>
      </c>
    </row>
    <row r="8" spans="1:25" s="37" customFormat="1" ht="33.65" customHeight="1" x14ac:dyDescent="0.35">
      <c r="A8" s="58" t="s">
        <v>83</v>
      </c>
      <c r="B8" s="59" t="s">
        <v>19</v>
      </c>
      <c r="C8" s="60" t="s">
        <v>84</v>
      </c>
      <c r="D8" s="75" t="s">
        <v>112</v>
      </c>
      <c r="E8" s="189">
        <v>0</v>
      </c>
      <c r="F8" s="189">
        <v>0</v>
      </c>
      <c r="G8" s="189" t="s">
        <v>28</v>
      </c>
      <c r="H8" s="189" t="s">
        <v>28</v>
      </c>
      <c r="I8" s="189" t="s">
        <v>28</v>
      </c>
      <c r="J8" s="189">
        <f>Overview!$A$39*F8</f>
        <v>0</v>
      </c>
      <c r="K8" s="190">
        <f>Overview!$B$39*F8</f>
        <v>0</v>
      </c>
      <c r="L8" s="191" t="s">
        <v>104</v>
      </c>
      <c r="M8" s="192">
        <v>300</v>
      </c>
      <c r="N8" s="192">
        <v>360000</v>
      </c>
      <c r="O8" s="192" t="s">
        <v>28</v>
      </c>
      <c r="P8" s="192" t="s">
        <v>28</v>
      </c>
      <c r="Q8" s="192" t="s">
        <v>28</v>
      </c>
      <c r="R8" s="192">
        <f>Overview!$A$39*N8</f>
        <v>82800</v>
      </c>
      <c r="S8" s="193">
        <f>Overview!$B$39*N8</f>
        <v>18000</v>
      </c>
      <c r="T8" s="194">
        <f>N8-F8</f>
        <v>360000</v>
      </c>
      <c r="U8" s="194" t="s">
        <v>28</v>
      </c>
      <c r="V8" s="194" t="s">
        <v>28</v>
      </c>
      <c r="W8" s="194" t="s">
        <v>28</v>
      </c>
      <c r="X8" s="194">
        <f>R8-J8</f>
        <v>82800</v>
      </c>
      <c r="Y8" s="180">
        <f>S8-K8</f>
        <v>18000</v>
      </c>
    </row>
    <row r="9" spans="1:25" s="37" customFormat="1" ht="33.65" customHeight="1" x14ac:dyDescent="0.35">
      <c r="A9" s="58" t="s">
        <v>194</v>
      </c>
      <c r="B9" s="59" t="s">
        <v>19</v>
      </c>
      <c r="C9" s="60" t="s">
        <v>84</v>
      </c>
      <c r="D9" s="75" t="s">
        <v>217</v>
      </c>
      <c r="E9" s="189">
        <v>300</v>
      </c>
      <c r="F9" s="189">
        <v>0</v>
      </c>
      <c r="G9" s="189">
        <v>38000</v>
      </c>
      <c r="H9" s="189">
        <f>G9*Overview!A47/1000</f>
        <v>1953.2</v>
      </c>
      <c r="I9" s="189">
        <f>H9*Overview!B47/1000</f>
        <v>20.899239999999999</v>
      </c>
      <c r="J9" s="189">
        <f>Overview!$A$39*F9</f>
        <v>0</v>
      </c>
      <c r="K9" s="190">
        <f>Overview!$B$39*F9</f>
        <v>0</v>
      </c>
      <c r="L9" s="191" t="s">
        <v>219</v>
      </c>
      <c r="M9" s="192">
        <v>300</v>
      </c>
      <c r="N9" s="192" t="s">
        <v>28</v>
      </c>
      <c r="O9" s="192">
        <v>38000</v>
      </c>
      <c r="P9" s="192">
        <f>H9*96%</f>
        <v>1875.0719999999999</v>
      </c>
      <c r="Q9" s="192">
        <f>I9*96%</f>
        <v>20.063270399999997</v>
      </c>
      <c r="R9" s="192" t="s">
        <v>28</v>
      </c>
      <c r="S9" s="192" t="s">
        <v>28</v>
      </c>
      <c r="T9" s="194" t="s">
        <v>28</v>
      </c>
      <c r="U9" s="194">
        <f>G9-O9</f>
        <v>0</v>
      </c>
      <c r="V9" s="194">
        <f>H9-P9</f>
        <v>78.128000000000156</v>
      </c>
      <c r="W9" s="194">
        <f>I9-Q9</f>
        <v>0.83596960000000209</v>
      </c>
      <c r="X9" s="194" t="s">
        <v>28</v>
      </c>
      <c r="Y9" s="180" t="s">
        <v>28</v>
      </c>
    </row>
    <row r="10" spans="1:25" x14ac:dyDescent="0.35">
      <c r="A10" s="2"/>
      <c r="B10" s="2"/>
      <c r="C10" s="2"/>
      <c r="D10" s="177"/>
      <c r="E10" s="2"/>
      <c r="F10" s="2"/>
      <c r="G10" s="2"/>
      <c r="H10" s="2"/>
      <c r="I10" s="2"/>
      <c r="J10" s="2"/>
      <c r="K10" s="2"/>
      <c r="L10" s="2"/>
      <c r="M10" s="2"/>
      <c r="N10" s="2"/>
      <c r="O10" s="2"/>
      <c r="P10" s="2"/>
      <c r="Q10" s="2"/>
      <c r="R10" s="2"/>
      <c r="S10" s="2"/>
      <c r="T10" s="2"/>
      <c r="U10" s="2"/>
      <c r="V10" s="2"/>
      <c r="W10" s="2"/>
      <c r="X10" s="2"/>
      <c r="Y10" s="2"/>
    </row>
    <row r="11" spans="1:25" x14ac:dyDescent="0.35">
      <c r="A11" s="2"/>
      <c r="B11" s="2"/>
      <c r="C11" s="2"/>
      <c r="D11" s="2"/>
      <c r="E11" s="2"/>
      <c r="F11" s="2"/>
      <c r="G11" s="2"/>
      <c r="H11" s="2"/>
      <c r="I11" s="2"/>
      <c r="J11" s="2"/>
      <c r="K11" s="2"/>
      <c r="L11" s="2"/>
      <c r="M11" s="2"/>
      <c r="N11" s="2"/>
      <c r="O11" s="2"/>
      <c r="P11" s="2"/>
      <c r="Q11" s="2"/>
      <c r="R11" s="2"/>
      <c r="S11" s="2"/>
      <c r="T11" s="2"/>
      <c r="U11" s="2"/>
      <c r="V11" s="2"/>
      <c r="W11" s="2"/>
      <c r="X11" s="2"/>
      <c r="Y11" s="2"/>
    </row>
    <row r="12" spans="1:25" x14ac:dyDescent="0.35">
      <c r="A12" s="2"/>
      <c r="B12" s="2"/>
      <c r="C12" s="2"/>
      <c r="D12" s="2"/>
      <c r="E12" s="2"/>
      <c r="F12" s="2"/>
      <c r="G12" s="2"/>
      <c r="H12" s="2"/>
      <c r="I12" s="2"/>
      <c r="J12" s="2"/>
      <c r="K12" s="2"/>
      <c r="L12" s="2"/>
      <c r="M12" s="2"/>
      <c r="N12" s="2"/>
      <c r="O12" s="2"/>
      <c r="P12" s="2"/>
      <c r="Q12" s="2"/>
      <c r="R12" s="2"/>
      <c r="S12" s="2"/>
      <c r="T12" s="2"/>
      <c r="U12" s="2"/>
      <c r="V12" s="2"/>
      <c r="W12" s="2"/>
      <c r="X12" s="2"/>
      <c r="Y12" s="2"/>
    </row>
    <row r="13" spans="1:25" x14ac:dyDescent="0.35">
      <c r="A13" s="2"/>
      <c r="B13" s="2"/>
      <c r="C13" s="2"/>
      <c r="D13" s="2"/>
      <c r="E13" s="2"/>
      <c r="F13" s="2"/>
      <c r="G13" s="2"/>
      <c r="H13" s="2"/>
      <c r="I13" s="2"/>
      <c r="J13" s="2"/>
      <c r="K13" s="2"/>
      <c r="L13" s="2"/>
      <c r="M13" s="2"/>
      <c r="N13" s="2"/>
      <c r="O13" s="2"/>
      <c r="P13" s="2"/>
      <c r="Q13" s="2"/>
      <c r="R13" s="2"/>
      <c r="S13" s="2"/>
      <c r="T13" s="2"/>
      <c r="U13" s="2"/>
      <c r="V13" s="2"/>
      <c r="W13" s="2"/>
      <c r="X13" s="2"/>
      <c r="Y13" s="2"/>
    </row>
    <row r="14" spans="1:25" ht="15" thickBot="1" x14ac:dyDescent="0.4">
      <c r="A14" s="55" t="s">
        <v>52</v>
      </c>
      <c r="B14" s="39"/>
      <c r="C14" s="39"/>
      <c r="D14" s="39"/>
      <c r="E14" s="39"/>
      <c r="F14" s="39"/>
      <c r="G14" s="39"/>
      <c r="H14" s="39"/>
      <c r="I14" s="39"/>
      <c r="J14" s="39"/>
      <c r="K14" s="39"/>
      <c r="L14" s="39"/>
      <c r="M14" s="39"/>
      <c r="N14" s="65"/>
      <c r="O14" s="65"/>
      <c r="P14" s="65"/>
      <c r="Q14" s="65"/>
      <c r="R14" s="65"/>
      <c r="S14" s="65"/>
      <c r="T14" s="178">
        <f>SUM(T8:T13)</f>
        <v>360000</v>
      </c>
      <c r="U14" s="178">
        <f>SUM(U8:U13)</f>
        <v>0</v>
      </c>
      <c r="V14" s="178">
        <f t="shared" ref="V14:Y14" si="0">SUM(V8:V13)</f>
        <v>78.128000000000156</v>
      </c>
      <c r="W14" s="178">
        <f t="shared" si="0"/>
        <v>0.83596960000000209</v>
      </c>
      <c r="X14" s="178">
        <f t="shared" si="0"/>
        <v>82800</v>
      </c>
      <c r="Y14" s="178">
        <f t="shared" si="0"/>
        <v>18000</v>
      </c>
    </row>
    <row r="15" spans="1:25" ht="15" thickTop="1" x14ac:dyDescent="0.35">
      <c r="K15" s="8"/>
      <c r="L15" s="8"/>
      <c r="M15" s="8"/>
      <c r="N15" s="8"/>
    </row>
    <row r="20" spans="1:10" ht="29.15" customHeight="1" x14ac:dyDescent="0.35">
      <c r="A20" s="242" t="s">
        <v>99</v>
      </c>
      <c r="B20" s="243"/>
      <c r="C20" s="243"/>
      <c r="D20" s="243"/>
      <c r="E20" s="243"/>
      <c r="F20" s="243"/>
      <c r="G20" s="244"/>
      <c r="J20" t="s">
        <v>136</v>
      </c>
    </row>
    <row r="21" spans="1:10" ht="48" customHeight="1" x14ac:dyDescent="0.4">
      <c r="A21" s="67" t="s">
        <v>214</v>
      </c>
      <c r="B21" s="67" t="s">
        <v>215</v>
      </c>
      <c r="C21" s="70" t="s">
        <v>216</v>
      </c>
      <c r="D21" s="115" t="s">
        <v>135</v>
      </c>
      <c r="E21" s="115" t="s">
        <v>120</v>
      </c>
      <c r="F21" s="115" t="s">
        <v>121</v>
      </c>
      <c r="G21" s="68" t="s">
        <v>65</v>
      </c>
      <c r="H21" s="93" t="s">
        <v>111</v>
      </c>
      <c r="I21" s="69" t="s">
        <v>101</v>
      </c>
    </row>
    <row r="22" spans="1:10" ht="29.5" customHeight="1" x14ac:dyDescent="0.35">
      <c r="A22" s="158">
        <f>T14</f>
        <v>360000</v>
      </c>
      <c r="B22" s="158">
        <f>U14</f>
        <v>0</v>
      </c>
      <c r="C22" s="135">
        <f>A22*Overview!$A$32+B22*Overview!$D$32</f>
        <v>90000</v>
      </c>
      <c r="D22" s="167">
        <f>V14</f>
        <v>78.128000000000156</v>
      </c>
      <c r="E22" s="167">
        <f>X14</f>
        <v>82800</v>
      </c>
      <c r="F22" s="167">
        <f>W14+Y14</f>
        <v>18000.835969600001</v>
      </c>
      <c r="G22" s="135"/>
      <c r="H22" s="158">
        <f>IFERROR(G22/C22,0)</f>
        <v>0</v>
      </c>
      <c r="I22" s="2"/>
    </row>
    <row r="24" spans="1:10" ht="21" x14ac:dyDescent="0.5">
      <c r="A24" s="170"/>
    </row>
    <row r="71" spans="3:3" x14ac:dyDescent="0.35">
      <c r="C71">
        <v>8</v>
      </c>
    </row>
  </sheetData>
  <mergeCells count="4">
    <mergeCell ref="T6:Y6"/>
    <mergeCell ref="D6:K6"/>
    <mergeCell ref="L6:S6"/>
    <mergeCell ref="A20:G20"/>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7AA89398-0593-428D-88AE-CD335A49BE36}">
          <x14:formula1>
            <xm:f>'Data Base'!$C$10:$C$18</xm:f>
          </x14:formula1>
          <xm:sqref>L8:L9</xm:sqref>
        </x14:dataValidation>
        <x14:dataValidation type="list" allowBlank="1" showInputMessage="1" showErrorMessage="1" xr:uid="{52DE5C06-CF3D-4828-9B65-CDFECF350E1A}">
          <x14:formula1>
            <xm:f>'Data Base'!$C$10:$C$19</xm:f>
          </x14:formula1>
          <xm:sqref>D8:D9</xm:sqref>
        </x14:dataValidation>
        <x14:dataValidation type="list" allowBlank="1" showInputMessage="1" showErrorMessage="1" xr:uid="{68A43119-691E-4B09-A3F3-82E204C0CFFE}">
          <x14:formula1>
            <xm:f>'Data Base'!#REF!</xm:f>
          </x14:formula1>
          <xm:sqref>C2</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70E1E-9695-451A-8CCA-A8FBAAC9D809}">
  <sheetPr codeName="Sheet13"/>
  <dimension ref="A1:Q29"/>
  <sheetViews>
    <sheetView workbookViewId="0">
      <selection activeCell="O21" sqref="O21"/>
    </sheetView>
  </sheetViews>
  <sheetFormatPr defaultRowHeight="14.5" x14ac:dyDescent="0.35"/>
  <cols>
    <col min="1" max="1" width="19.453125" customWidth="1"/>
    <col min="2" max="2" width="18.81640625" customWidth="1"/>
    <col min="3" max="5" width="20.453125" customWidth="1"/>
    <col min="6" max="6" width="26.81640625" customWidth="1"/>
    <col min="7" max="7" width="23.453125" customWidth="1"/>
    <col min="8" max="8" width="23.81640625" customWidth="1"/>
    <col min="9" max="10" width="18.453125" customWidth="1"/>
    <col min="11" max="11" width="23.26953125" customWidth="1"/>
    <col min="12" max="12" width="18.453125" customWidth="1"/>
    <col min="13" max="13" width="21.1796875" customWidth="1"/>
    <col min="14" max="14" width="19.1796875" customWidth="1"/>
    <col min="15" max="15" width="18.81640625" customWidth="1"/>
    <col min="16" max="16" width="24.54296875" customWidth="1"/>
    <col min="17" max="17" width="24.1796875" customWidth="1"/>
    <col min="18" max="18" width="21" customWidth="1"/>
    <col min="19" max="24" width="19.453125" customWidth="1"/>
    <col min="25" max="25" width="21.1796875" customWidth="1"/>
    <col min="26" max="26" width="18.54296875" customWidth="1"/>
    <col min="27" max="28" width="20.1796875" customWidth="1"/>
    <col min="29" max="29" width="17.54296875" customWidth="1"/>
    <col min="30" max="30" width="16.1796875" customWidth="1"/>
    <col min="31" max="33" width="13.54296875" customWidth="1"/>
  </cols>
  <sheetData>
    <row r="1" spans="1:17" ht="26.15" customHeight="1" x14ac:dyDescent="0.45">
      <c r="A1" s="10" t="s">
        <v>13</v>
      </c>
    </row>
    <row r="2" spans="1:17" x14ac:dyDescent="0.35">
      <c r="E2" s="1" t="s">
        <v>12</v>
      </c>
    </row>
    <row r="3" spans="1:17" x14ac:dyDescent="0.35">
      <c r="A3" s="3"/>
      <c r="B3" s="3"/>
      <c r="C3" s="3"/>
      <c r="D3" s="3"/>
      <c r="E3" t="s">
        <v>98</v>
      </c>
      <c r="F3" s="3"/>
    </row>
    <row r="4" spans="1:17" ht="18.5" x14ac:dyDescent="0.45">
      <c r="A4" s="3"/>
      <c r="B4" s="3"/>
      <c r="C4" s="3"/>
      <c r="D4" s="3"/>
      <c r="E4" s="56" t="s">
        <v>168</v>
      </c>
      <c r="F4" s="3"/>
    </row>
    <row r="5" spans="1:17" ht="15" thickBot="1" x14ac:dyDescent="0.4">
      <c r="A5" s="3"/>
      <c r="B5" s="3"/>
      <c r="C5" s="3"/>
      <c r="D5" s="3"/>
      <c r="E5" s="3"/>
    </row>
    <row r="6" spans="1:17" s="74" customFormat="1" ht="44.15" customHeight="1" thickBot="1" x14ac:dyDescent="0.4">
      <c r="E6" s="230" t="s">
        <v>32</v>
      </c>
      <c r="F6" s="231"/>
      <c r="G6" s="231"/>
      <c r="H6" s="231"/>
      <c r="I6" s="231"/>
      <c r="J6" s="237" t="s">
        <v>33</v>
      </c>
      <c r="K6" s="237"/>
      <c r="L6" s="237"/>
      <c r="M6" s="238"/>
      <c r="N6" s="259" t="s">
        <v>38</v>
      </c>
      <c r="O6" s="260"/>
      <c r="P6" s="37"/>
      <c r="Q6" s="37"/>
    </row>
    <row r="7" spans="1:17" s="1" customFormat="1" ht="64.5" customHeight="1" x14ac:dyDescent="0.4">
      <c r="A7" s="6" t="s">
        <v>61</v>
      </c>
      <c r="B7" s="6" t="s">
        <v>5</v>
      </c>
      <c r="C7" s="6" t="s">
        <v>6</v>
      </c>
      <c r="D7" s="6" t="s">
        <v>147</v>
      </c>
      <c r="E7" s="29" t="s">
        <v>71</v>
      </c>
      <c r="F7" s="29" t="s">
        <v>62</v>
      </c>
      <c r="G7" s="29" t="s">
        <v>94</v>
      </c>
      <c r="H7" s="29" t="s">
        <v>185</v>
      </c>
      <c r="I7" s="29" t="s">
        <v>148</v>
      </c>
      <c r="J7" s="52" t="s">
        <v>71</v>
      </c>
      <c r="K7" s="29" t="s">
        <v>62</v>
      </c>
      <c r="L7" s="29" t="s">
        <v>185</v>
      </c>
      <c r="M7" s="136" t="s">
        <v>149</v>
      </c>
      <c r="N7" s="28" t="s">
        <v>146</v>
      </c>
      <c r="O7" s="147" t="s">
        <v>149</v>
      </c>
      <c r="P7"/>
      <c r="Q7"/>
    </row>
    <row r="8" spans="1:17" ht="21.65" customHeight="1" x14ac:dyDescent="0.35">
      <c r="A8" s="57" t="s">
        <v>68</v>
      </c>
      <c r="B8" s="57" t="s">
        <v>19</v>
      </c>
      <c r="C8" s="57" t="s">
        <v>20</v>
      </c>
      <c r="D8" s="57">
        <v>500</v>
      </c>
      <c r="E8" s="36" t="s">
        <v>189</v>
      </c>
      <c r="F8" s="44" t="s">
        <v>165</v>
      </c>
      <c r="G8" s="51" t="s">
        <v>95</v>
      </c>
      <c r="H8" s="45">
        <v>5000</v>
      </c>
      <c r="I8" s="45">
        <f>H8*Overview!$B$55</f>
        <v>8650</v>
      </c>
      <c r="J8" s="51" t="s">
        <v>189</v>
      </c>
      <c r="K8" s="5" t="s">
        <v>70</v>
      </c>
      <c r="L8" s="46">
        <v>3000</v>
      </c>
      <c r="M8" s="46">
        <f>Overview!$B$55*L8</f>
        <v>5190</v>
      </c>
      <c r="N8" s="172">
        <f>H8-L8</f>
        <v>2000</v>
      </c>
      <c r="O8" s="173">
        <f>I8-M8</f>
        <v>3460</v>
      </c>
    </row>
    <row r="9" spans="1:17" ht="27.65" customHeight="1" x14ac:dyDescent="0.35">
      <c r="A9" s="57" t="s">
        <v>166</v>
      </c>
      <c r="B9" s="57" t="s">
        <v>19</v>
      </c>
      <c r="C9" s="57" t="s">
        <v>54</v>
      </c>
      <c r="D9" s="57">
        <v>6000</v>
      </c>
      <c r="E9" s="36" t="s">
        <v>218</v>
      </c>
      <c r="F9" s="43" t="s">
        <v>164</v>
      </c>
      <c r="G9" s="51" t="s">
        <v>95</v>
      </c>
      <c r="H9" s="45">
        <v>75000</v>
      </c>
      <c r="I9" s="45">
        <f>H9*Overview!$B$55</f>
        <v>129750</v>
      </c>
      <c r="J9" s="51" t="s">
        <v>218</v>
      </c>
      <c r="K9" s="150" t="s">
        <v>167</v>
      </c>
      <c r="L9" s="46">
        <v>50000</v>
      </c>
      <c r="M9" s="46">
        <f>Overview!$B$55*L9</f>
        <v>86500</v>
      </c>
      <c r="N9" s="172">
        <f>H9-L9</f>
        <v>25000</v>
      </c>
      <c r="O9" s="173">
        <f>I9-M9</f>
        <v>43250</v>
      </c>
    </row>
    <row r="10" spans="1:17" x14ac:dyDescent="0.35">
      <c r="A10" s="2"/>
      <c r="B10" s="2"/>
      <c r="C10" s="2"/>
      <c r="D10" s="2"/>
      <c r="E10" s="2"/>
      <c r="F10" s="2"/>
      <c r="G10" s="2"/>
      <c r="H10" s="2"/>
      <c r="I10" s="2"/>
      <c r="J10" s="48"/>
      <c r="K10" s="48"/>
      <c r="L10" s="2"/>
      <c r="M10" s="13"/>
      <c r="N10" s="23"/>
      <c r="O10" s="14"/>
    </row>
    <row r="11" spans="1:17" x14ac:dyDescent="0.35">
      <c r="A11" s="2"/>
      <c r="B11" s="2"/>
      <c r="C11" s="2"/>
      <c r="D11" s="2"/>
      <c r="E11" s="2"/>
      <c r="F11" s="2"/>
      <c r="G11" s="2"/>
      <c r="H11" s="2"/>
      <c r="I11" s="2"/>
      <c r="J11" s="48"/>
      <c r="K11" s="48"/>
      <c r="L11" s="2"/>
      <c r="M11" s="13"/>
      <c r="N11" s="23"/>
      <c r="O11" s="14"/>
    </row>
    <row r="12" spans="1:17" x14ac:dyDescent="0.35">
      <c r="A12" s="2"/>
      <c r="B12" s="2"/>
      <c r="C12" s="2"/>
      <c r="D12" s="2"/>
      <c r="E12" s="2"/>
      <c r="F12" s="2"/>
      <c r="G12" s="2"/>
      <c r="H12" s="2"/>
      <c r="I12" s="2"/>
      <c r="J12" s="48"/>
      <c r="K12" s="48"/>
      <c r="L12" s="2"/>
      <c r="M12" s="13"/>
      <c r="N12" s="23"/>
      <c r="O12" s="14"/>
    </row>
    <row r="13" spans="1:17" x14ac:dyDescent="0.35">
      <c r="A13" s="2"/>
      <c r="B13" s="2"/>
      <c r="C13" s="2"/>
      <c r="D13" s="2"/>
      <c r="E13" s="2"/>
      <c r="F13" s="2"/>
      <c r="G13" s="2"/>
      <c r="H13" s="2"/>
      <c r="I13" s="7"/>
      <c r="J13" s="48"/>
      <c r="K13" s="48"/>
      <c r="L13" s="2"/>
      <c r="M13" s="13"/>
      <c r="N13" s="23"/>
      <c r="O13" s="14"/>
    </row>
    <row r="14" spans="1:17" x14ac:dyDescent="0.35">
      <c r="A14" s="2"/>
      <c r="B14" s="2"/>
      <c r="C14" s="2"/>
      <c r="D14" s="2"/>
      <c r="E14" s="2"/>
      <c r="F14" s="2"/>
      <c r="G14" s="2"/>
      <c r="H14" s="2"/>
      <c r="I14" s="7"/>
      <c r="J14" s="48"/>
      <c r="K14" s="48"/>
      <c r="L14" s="2"/>
      <c r="M14" s="13"/>
      <c r="N14" s="23"/>
      <c r="O14" s="14"/>
    </row>
    <row r="15" spans="1:17" x14ac:dyDescent="0.35">
      <c r="A15" s="2"/>
      <c r="B15" s="2"/>
      <c r="C15" s="2"/>
      <c r="D15" s="2"/>
      <c r="E15" s="2"/>
      <c r="F15" s="2"/>
      <c r="G15" s="2"/>
      <c r="H15" s="2"/>
      <c r="I15" s="7"/>
      <c r="J15" s="48"/>
      <c r="K15" s="48"/>
      <c r="L15" s="2"/>
      <c r="M15" s="13"/>
      <c r="N15" s="23"/>
      <c r="O15" s="14"/>
    </row>
    <row r="16" spans="1:17" x14ac:dyDescent="0.35">
      <c r="A16" s="2"/>
      <c r="B16" s="2"/>
      <c r="C16" s="2"/>
      <c r="D16" s="2"/>
      <c r="E16" s="2"/>
      <c r="F16" s="2"/>
      <c r="G16" s="2"/>
      <c r="H16" s="2"/>
      <c r="I16" s="7"/>
      <c r="J16" s="48"/>
      <c r="K16" s="48"/>
      <c r="L16" s="2"/>
      <c r="M16" s="13"/>
      <c r="N16" s="137"/>
      <c r="O16" s="14"/>
    </row>
    <row r="17" spans="1:15" x14ac:dyDescent="0.35">
      <c r="A17" s="11"/>
      <c r="B17" s="11"/>
      <c r="C17" s="11"/>
      <c r="D17" s="11"/>
      <c r="E17" s="11"/>
      <c r="F17" s="11"/>
      <c r="G17" s="11"/>
      <c r="H17" s="11"/>
      <c r="I17" s="53"/>
      <c r="J17" s="54"/>
      <c r="K17" s="54"/>
      <c r="L17" s="11"/>
      <c r="M17" s="99"/>
      <c r="N17" s="138"/>
      <c r="O17" s="14"/>
    </row>
    <row r="18" spans="1:15" ht="15" thickBot="1" x14ac:dyDescent="0.4">
      <c r="A18" s="39" t="s">
        <v>52</v>
      </c>
      <c r="B18" s="39"/>
      <c r="C18" s="39"/>
      <c r="D18" s="39"/>
      <c r="E18" s="39"/>
      <c r="F18" s="39"/>
      <c r="G18" s="39"/>
      <c r="H18" s="39"/>
      <c r="I18" s="55"/>
      <c r="J18" s="39"/>
      <c r="K18" s="39"/>
      <c r="L18" s="39"/>
      <c r="M18" s="39"/>
      <c r="N18" s="178">
        <f>SUM(N8:N17)</f>
        <v>27000</v>
      </c>
      <c r="O18" s="178">
        <f>SUM(O8:O17)</f>
        <v>46710</v>
      </c>
    </row>
    <row r="19" spans="1:15" ht="15" thickTop="1" x14ac:dyDescent="0.35"/>
    <row r="21" spans="1:15" ht="15" thickBot="1" x14ac:dyDescent="0.4"/>
    <row r="22" spans="1:15" ht="22" customHeight="1" thickBot="1" x14ac:dyDescent="0.4">
      <c r="A22" s="261" t="s">
        <v>99</v>
      </c>
      <c r="B22" s="262"/>
      <c r="C22" s="262"/>
      <c r="D22" s="263"/>
      <c r="E22" s="166"/>
    </row>
    <row r="23" spans="1:15" ht="54" x14ac:dyDescent="0.4">
      <c r="A23" s="139" t="s">
        <v>150</v>
      </c>
      <c r="B23" s="140" t="s">
        <v>72</v>
      </c>
      <c r="C23" s="115" t="s">
        <v>148</v>
      </c>
      <c r="D23" s="165" t="s">
        <v>67</v>
      </c>
      <c r="E23" s="69" t="s">
        <v>100</v>
      </c>
      <c r="F23" s="141" t="s">
        <v>101</v>
      </c>
      <c r="G23" s="1"/>
      <c r="H23" s="1"/>
      <c r="I23" s="1"/>
      <c r="J23" s="1"/>
      <c r="K23" s="1"/>
      <c r="L23" s="1"/>
    </row>
    <row r="24" spans="1:15" ht="30.65" customHeight="1" x14ac:dyDescent="0.35">
      <c r="A24" s="158">
        <f>N18</f>
        <v>27000</v>
      </c>
      <c r="B24" s="18">
        <f>A24*Overview!$F$32</f>
        <v>81000</v>
      </c>
      <c r="C24" s="158">
        <f>O18</f>
        <v>46710</v>
      </c>
      <c r="D24" s="18"/>
      <c r="E24" s="158">
        <f>IFERROR(D24/#REF!,0)</f>
        <v>0</v>
      </c>
      <c r="F24" s="2"/>
    </row>
    <row r="25" spans="1:15" ht="33.65" customHeight="1" x14ac:dyDescent="0.35"/>
    <row r="29" spans="1:15" ht="21" x14ac:dyDescent="0.5">
      <c r="A29" s="170"/>
    </row>
  </sheetData>
  <mergeCells count="4">
    <mergeCell ref="N6:O6"/>
    <mergeCell ref="A22:D22"/>
    <mergeCell ref="E6:I6"/>
    <mergeCell ref="J6:M6"/>
  </mergeCell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1460C705-1A2E-4460-BB53-F03DDB2161CF}">
          <x14:formula1>
            <xm:f>'Data Base'!#REF!</xm:f>
          </x14:formula1>
          <xm:sqref>B2:D4 E4</xm:sqref>
        </x14:dataValidation>
        <x14:dataValidation type="list" allowBlank="1" showInputMessage="1" showErrorMessage="1" xr:uid="{BF48F38C-E726-4D37-B4D1-8C4E25B3B288}">
          <x14:formula1>
            <xm:f>'Data Base'!$C$4:$C$6</xm:f>
          </x14:formula1>
          <xm:sqref>G8:G9</xm:sqref>
        </x14:dataValidation>
        <x14:dataValidation type="list" allowBlank="1" showInputMessage="1" showErrorMessage="1" xr:uid="{1C455BD3-C8C5-4FD3-A588-B7C7C07950D3}">
          <x14:formula1>
            <xm:f>'Data Base'!$B$4:$B$18</xm:f>
          </x14:formula1>
          <xm:sqref>E8:E9 J8:J9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0D964-7D0A-4E84-8B0D-B3011C506AD7}">
  <sheetPr codeName="Sheet2"/>
  <dimension ref="B2:C92"/>
  <sheetViews>
    <sheetView workbookViewId="0">
      <selection activeCell="B17" sqref="B17"/>
    </sheetView>
  </sheetViews>
  <sheetFormatPr defaultRowHeight="14.5" x14ac:dyDescent="0.35"/>
  <cols>
    <col min="2" max="2" width="51.1796875" customWidth="1"/>
    <col min="3" max="3" width="58.1796875" customWidth="1"/>
    <col min="4" max="4" width="10.54296875" customWidth="1"/>
    <col min="5" max="5" width="15.81640625" customWidth="1"/>
    <col min="6" max="6" width="36.81640625" customWidth="1"/>
    <col min="7" max="7" width="44.81640625" customWidth="1"/>
    <col min="8" max="8" width="49.54296875" customWidth="1"/>
    <col min="12" max="12" width="38.81640625" customWidth="1"/>
  </cols>
  <sheetData>
    <row r="2" spans="2:3" ht="16" customHeight="1" x14ac:dyDescent="0.35"/>
    <row r="3" spans="2:3" ht="16" customHeight="1" x14ac:dyDescent="0.35">
      <c r="B3" s="32" t="s">
        <v>43</v>
      </c>
      <c r="C3" s="32" t="s">
        <v>103</v>
      </c>
    </row>
    <row r="4" spans="2:3" ht="16" customHeight="1" x14ac:dyDescent="0.35">
      <c r="B4" t="s">
        <v>44</v>
      </c>
      <c r="C4" t="s">
        <v>222</v>
      </c>
    </row>
    <row r="5" spans="2:3" ht="16" customHeight="1" x14ac:dyDescent="0.35">
      <c r="B5" t="s">
        <v>45</v>
      </c>
      <c r="C5" t="s">
        <v>223</v>
      </c>
    </row>
    <row r="6" spans="2:3" ht="16" customHeight="1" x14ac:dyDescent="0.35">
      <c r="B6" t="s">
        <v>46</v>
      </c>
      <c r="C6" t="s">
        <v>220</v>
      </c>
    </row>
    <row r="7" spans="2:3" ht="16" customHeight="1" x14ac:dyDescent="0.35">
      <c r="B7" t="s">
        <v>47</v>
      </c>
      <c r="C7" t="s">
        <v>221</v>
      </c>
    </row>
    <row r="8" spans="2:3" ht="16" customHeight="1" x14ac:dyDescent="0.35">
      <c r="B8" t="s">
        <v>48</v>
      </c>
    </row>
    <row r="9" spans="2:3" ht="16" customHeight="1" x14ac:dyDescent="0.35">
      <c r="B9" t="s">
        <v>49</v>
      </c>
      <c r="C9" s="1" t="s">
        <v>110</v>
      </c>
    </row>
    <row r="10" spans="2:3" ht="16" customHeight="1" x14ac:dyDescent="0.35">
      <c r="B10" t="s">
        <v>50</v>
      </c>
      <c r="C10" t="s">
        <v>104</v>
      </c>
    </row>
    <row r="11" spans="2:3" ht="16" customHeight="1" x14ac:dyDescent="0.35">
      <c r="B11" t="s">
        <v>51</v>
      </c>
      <c r="C11" t="s">
        <v>105</v>
      </c>
    </row>
    <row r="12" spans="2:3" ht="18" customHeight="1" x14ac:dyDescent="0.35">
      <c r="B12" t="s">
        <v>189</v>
      </c>
      <c r="C12" t="s">
        <v>106</v>
      </c>
    </row>
    <row r="13" spans="2:3" ht="16" customHeight="1" x14ac:dyDescent="0.35">
      <c r="B13" t="s">
        <v>218</v>
      </c>
      <c r="C13" t="s">
        <v>107</v>
      </c>
    </row>
    <row r="14" spans="2:3" ht="16" customHeight="1" x14ac:dyDescent="0.35">
      <c r="B14" t="s">
        <v>231</v>
      </c>
      <c r="C14" t="s">
        <v>108</v>
      </c>
    </row>
    <row r="15" spans="2:3" ht="16" customHeight="1" x14ac:dyDescent="0.35">
      <c r="B15" t="s">
        <v>224</v>
      </c>
      <c r="C15" t="s">
        <v>109</v>
      </c>
    </row>
    <row r="16" spans="2:3" ht="16" customHeight="1" x14ac:dyDescent="0.35">
      <c r="C16" t="s">
        <v>217</v>
      </c>
    </row>
    <row r="17" spans="3:3" ht="16" customHeight="1" x14ac:dyDescent="0.35">
      <c r="C17" t="s">
        <v>219</v>
      </c>
    </row>
    <row r="18" spans="3:3" ht="16" customHeight="1" x14ac:dyDescent="0.35">
      <c r="C18" t="s">
        <v>112</v>
      </c>
    </row>
    <row r="19" spans="3:3" ht="16" customHeight="1" x14ac:dyDescent="0.35"/>
    <row r="20" spans="3:3" ht="16" customHeight="1" x14ac:dyDescent="0.35"/>
    <row r="21" spans="3:3" ht="16" customHeight="1" x14ac:dyDescent="0.35"/>
    <row r="22" spans="3:3" ht="16" customHeight="1" x14ac:dyDescent="0.35"/>
    <row r="23" spans="3:3" ht="16" customHeight="1" x14ac:dyDescent="0.35"/>
    <row r="24" spans="3:3" ht="16" customHeight="1" x14ac:dyDescent="0.35"/>
    <row r="25" spans="3:3" ht="16" customHeight="1" x14ac:dyDescent="0.35"/>
    <row r="26" spans="3:3" ht="16" customHeight="1" x14ac:dyDescent="0.35"/>
    <row r="27" spans="3:3" ht="16" customHeight="1" x14ac:dyDescent="0.35"/>
    <row r="28" spans="3:3" ht="16" customHeight="1" x14ac:dyDescent="0.35"/>
    <row r="29" spans="3:3" ht="16" customHeight="1" x14ac:dyDescent="0.35"/>
    <row r="30" spans="3:3" ht="16" customHeight="1" x14ac:dyDescent="0.35"/>
    <row r="31" spans="3:3" ht="16" customHeight="1" x14ac:dyDescent="0.35"/>
    <row r="32" spans="3:3" ht="16" customHeight="1" x14ac:dyDescent="0.35"/>
    <row r="33" ht="16" customHeight="1" x14ac:dyDescent="0.35"/>
    <row r="34" ht="16" customHeight="1" x14ac:dyDescent="0.35"/>
    <row r="35" ht="16" customHeight="1" x14ac:dyDescent="0.35"/>
    <row r="36" ht="16" customHeight="1" x14ac:dyDescent="0.35"/>
    <row r="37" ht="16" customHeight="1" x14ac:dyDescent="0.35"/>
    <row r="38" ht="16" customHeight="1" x14ac:dyDescent="0.35"/>
    <row r="39" ht="16" customHeight="1" x14ac:dyDescent="0.35"/>
    <row r="40" ht="16" customHeight="1" x14ac:dyDescent="0.35"/>
    <row r="41" ht="16" customHeight="1" x14ac:dyDescent="0.35"/>
    <row r="42" ht="16" customHeight="1" x14ac:dyDescent="0.35"/>
    <row r="43" ht="16" customHeight="1" x14ac:dyDescent="0.35"/>
    <row r="44" ht="16" customHeight="1" x14ac:dyDescent="0.35"/>
    <row r="45" ht="16" customHeight="1" x14ac:dyDescent="0.35"/>
    <row r="46" ht="16" customHeight="1" x14ac:dyDescent="0.35"/>
    <row r="47" ht="16" customHeight="1" x14ac:dyDescent="0.35"/>
    <row r="48" ht="16" customHeight="1" x14ac:dyDescent="0.35"/>
    <row r="49" ht="16" customHeight="1" x14ac:dyDescent="0.35"/>
    <row r="50" ht="16" customHeight="1" x14ac:dyDescent="0.35"/>
    <row r="51" ht="16" customHeight="1" x14ac:dyDescent="0.35"/>
    <row r="52" ht="16" customHeight="1" x14ac:dyDescent="0.35"/>
    <row r="53" ht="16" customHeight="1" x14ac:dyDescent="0.35"/>
    <row r="54" ht="16" customHeight="1" x14ac:dyDescent="0.35"/>
    <row r="55" ht="16" customHeight="1" x14ac:dyDescent="0.35"/>
    <row r="56" ht="16" customHeight="1" x14ac:dyDescent="0.35"/>
    <row r="57" ht="16" customHeight="1" x14ac:dyDescent="0.35"/>
    <row r="58" ht="16" customHeight="1" x14ac:dyDescent="0.35"/>
    <row r="59" ht="16" customHeight="1" x14ac:dyDescent="0.35"/>
    <row r="60" ht="16" customHeight="1" x14ac:dyDescent="0.35"/>
    <row r="61" ht="16" customHeight="1" x14ac:dyDescent="0.35"/>
    <row r="62" ht="16" customHeight="1" x14ac:dyDescent="0.35"/>
    <row r="63" ht="16" customHeight="1" x14ac:dyDescent="0.35"/>
    <row r="64" ht="16" customHeight="1" x14ac:dyDescent="0.35"/>
    <row r="65" ht="16" customHeight="1" x14ac:dyDescent="0.35"/>
    <row r="66" ht="16" customHeight="1" x14ac:dyDescent="0.35"/>
    <row r="67" ht="16" customHeight="1" x14ac:dyDescent="0.35"/>
    <row r="68" ht="16" customHeight="1" x14ac:dyDescent="0.35"/>
    <row r="69" ht="16" customHeight="1" x14ac:dyDescent="0.35"/>
    <row r="70" ht="16" customHeight="1" x14ac:dyDescent="0.35"/>
    <row r="71" ht="16" customHeight="1" x14ac:dyDescent="0.35"/>
    <row r="72" ht="16" customHeight="1" x14ac:dyDescent="0.35"/>
    <row r="73" ht="16" customHeight="1" x14ac:dyDescent="0.35"/>
    <row r="74" ht="16" customHeight="1" x14ac:dyDescent="0.35"/>
    <row r="75" ht="16" customHeight="1" x14ac:dyDescent="0.35"/>
    <row r="76" ht="16" customHeight="1" x14ac:dyDescent="0.35"/>
    <row r="77" ht="16" customHeight="1" x14ac:dyDescent="0.35"/>
    <row r="78" ht="16" customHeight="1" x14ac:dyDescent="0.35"/>
    <row r="79" ht="16" customHeight="1" x14ac:dyDescent="0.35"/>
    <row r="80" ht="16" customHeight="1" x14ac:dyDescent="0.35"/>
    <row r="81" ht="16" customHeight="1" x14ac:dyDescent="0.35"/>
    <row r="82" ht="16" customHeight="1" x14ac:dyDescent="0.35"/>
    <row r="83" ht="16" customHeight="1" x14ac:dyDescent="0.35"/>
    <row r="84" ht="16" customHeight="1" x14ac:dyDescent="0.35"/>
    <row r="85" ht="16" customHeight="1" x14ac:dyDescent="0.35"/>
    <row r="86" ht="16" customHeight="1" x14ac:dyDescent="0.35"/>
    <row r="87" ht="16" customHeight="1" x14ac:dyDescent="0.35"/>
    <row r="88" ht="16" customHeight="1" x14ac:dyDescent="0.35"/>
    <row r="89" ht="16" customHeight="1" x14ac:dyDescent="0.35"/>
    <row r="90" ht="16" customHeight="1" x14ac:dyDescent="0.35"/>
    <row r="91" ht="16" customHeight="1" x14ac:dyDescent="0.35"/>
    <row r="92" ht="16" customHeight="1" x14ac:dyDescent="0.35"/>
  </sheetData>
  <phoneticPr fontId="3"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K I D A A B Q S w M E F A A C A A g A 5 X 4 l W c L Y m S O k A A A A 9 g A A A B I A H A B D b 2 5 m a W c v U G F j a 2 F n Z S 5 4 b W w g o h g A K K A U A A A A A A A A A A A A A A A A A A A A A A A A A A A A h Y 9 B D o I w F E S v Q r q n L W V D y K f G u J X E x G j c N l C h E T 6 G F s v d X H g k r y B G U X c u 5 8 1 b z N y v N 1 i M b R N c d G 9 N h x m J K C e B x q I r D V Y Z G d w x T M h C w k Y V J 1 X p Y J L R p q M t M 1 I 7 d 0 4 Z 8 9 5 T H 9 O u r 5 j g P G K H f L 0 t a t 0 q 8 p H N f z k 0 a J 3 C Q h M J + 9 c Y K W g U C x q L h H J g M 4 T c 4 F c Q 0 9 5 n + w N h N T R u 6 L X U G C 5 3 w O Y I 7 P 1 B P g B Q S w M E F A A C A A g A 5 X 4 l 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V + J V m I c 6 R J n A A A A N Y A A A A T A B w A R m 9 y b X V s Y X M v U 2 V j d G l v b j E u b S C i G A A o o B Q A A A A A A A A A A A A A A A A A A A A A A A A A A A B t j T 0 L g z A Q h v d A / k N I F w U R n M U p d O 2 i 0 E E c o r 1 W M e Z K c o J F / O + N z d p 3 O X g / n v M w 0 I R W 1 P E W J W e c + V E 7 e I h G 9 w Y K U Q k D x J k I q n F 1 A w T n u g 1 g c r U 6 B 5 b u 6 O Y e c U 7 S v b 3 p B S o Z l 7 I 7 W o W W Q q X L I u A i 1 a j t 6 4 R / 3 i A D 6 V f N G 6 e t f 6 J b F J p 1 s W f o k / g t 2 3 c Z 3 U J m g k I i C D Y 6 j p S z y f 7 F l l 9 Q S w E C L Q A U A A I A C A D l f i V Z w t i Z I 6 Q A A A D 2 A A A A E g A A A A A A A A A A A A A A A A A A A A A A Q 2 9 u Z m l n L 1 B h Y 2 t h Z 2 U u e G 1 s U E s B A i 0 A F A A C A A g A 5 X 4 l W Q / K 6 a u k A A A A 6 Q A A A B M A A A A A A A A A A A A A A A A A 8 A A A A F t D b 2 5 0 Z W 5 0 X 1 R 5 c G V z X S 5 4 b W x Q S w E C L Q A U A A I A C A D l f i V Z i H O k S Z w A A A D W A A A A E w A A A A A A A A A A A A A A A A D h A Q A A R m 9 y b X V s Y X M v U 2 V j d G l v b j E u b V B L B Q Y A A A A A A w A D A M I A A A D K 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K C A A A A A A A A O g H 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V G F i b G U x 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F 1 Z X J 5 S U Q i I F Z h b H V l P S J z M W E 0 Z j l j Z W Q t M G V i Y i 0 0 M D A y L W F l N W E t N W Z i Z G Z i M D V k O G Z i 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B Z G R l Z F R v R G F 0 Y U 1 v Z G V s I i B W Y W x 1 Z T 0 i b D A i I C 8 + P E V u d H J 5 I F R 5 c G U 9 I k Z p b G x D b 3 V u d C I g V m F s d W U 9 I m w x M y I g L z 4 8 R W 5 0 c n k g V H l w Z T 0 i R m l s b E V y c m 9 y Q 2 9 k Z S I g V m F s d W U 9 I n N V b m t u b 3 d u I i A v P j x F b n R y e S B U e X B l P S J G a W x s R X J y b 3 J D b 3 V u d C I g V m F s d W U 9 I m w w I i A v P j x F b n R y e S B U e X B l P S J G a W x s T G F z d F V w Z G F 0 Z W Q i I F Z h b H V l P S J k M j A y N C 0 w O S 0 w N V Q w N D o w N z o y O C 4 y N T I 5 N j A 2 W i I g L z 4 8 R W 5 0 c n k g V H l w Z T 0 i R m l s b E N v b H V t b l R 5 c G V z I i B W Y W x 1 Z T 0 i c 0 J n P T 0 i I C 8 + P E V u d H J 5 I F R 5 c G U 9 I k Z p b G x D b 2 x 1 b W 5 O Y W 1 l c y I g V m F s d W U 9 I n N b J n F 1 b 3 Q 7 Q 2 9 s d W 1 u 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l M S 9 B d X R v U m V t b 3 Z l Z E N v b H V t b n M x L n t D b 2 x 1 b W 4 x L D B 9 J n F 1 b 3 Q 7 X S w m c X V v d D t D b 2 x 1 b W 5 D b 3 V u d C Z x d W 9 0 O z o x L C Z x d W 9 0 O 0 t l e U N v b H V t b k 5 h b W V z J n F 1 b 3 Q 7 O l t d L C Z x d W 9 0 O 0 N v b H V t b k l k Z W 5 0 a X R p Z X M m c X V v d D s 6 W y Z x d W 9 0 O 1 N l Y 3 R p b 2 4 x L 1 R h Y m x l M S 9 B d X R v U m V t b 3 Z l Z E N v b H V t b n M x L n t D b 2 x 1 b W 4 x L D B 9 J n F 1 b 3 Q 7 X S w m c X V v d D t S Z W x h d G l v b n N o a X B J b m Z v J n F 1 b 3 Q 7 O l t d f S I g L z 4 8 L 1 N 0 Y W J s Z U V u d H J p Z X M + P C 9 J d G V t P j x J d G V t P j x J d G V t T G 9 j Y X R p b 2 4 + P E l 0 Z W 1 U e X B l P k Z v c m 1 1 b G E 8 L 0 l 0 Z W 1 U e X B l P j x J d G V t U G F 0 a D 5 T Z W N 0 a W 9 u M S 9 U Y W J s Z T E v U 2 9 1 c m N l P C 9 J d G V t U G F 0 a D 4 8 L 0 l 0 Z W 1 M b 2 N h d G l v b j 4 8 U 3 R h Y m x l R W 5 0 c m l l c y A v P j w v S X R l b T 4 8 S X R l b T 4 8 S X R l b U x v Y 2 F 0 a W 9 u P j x J d G V t V H l w Z T 5 G b 3 J t d W x h P C 9 J d G V t V H l w Z T 4 8 S X R l b V B h d G g + U 2 V j d G l v b j E v V G F i b G U x L 0 N o Y W 5 n Z W Q l M j B U e X B l P C 9 J d G V t U G F 0 a D 4 8 L 0 l 0 Z W 1 M b 2 N h d G l v b j 4 8 U 3 R h Y m x l R W 5 0 c m l l c y A v P j w v S X R l b T 4 8 L 0 l 0 Z W 1 z P j w v T G 9 j Y W x Q Y W N r Y W d l T W V 0 Y W R h d G F G a W x l P h Y A A A B Q S w U G A A A A A A A A A A A A A A A A A A A A A A A A 2 g A A A A E A A A D Q j J 3 f A R X R E Y x 6 A M B P w p f r A Q A A A D D L 2 F 4 T n g B K h X R E Q e e W c w E A A A A A A g A A A A A A A 2 Y A A M A A A A A Q A A A A 1 E d H E R M J U b J 2 G + V b M J O m C A A A A A A E g A A A o A A A A B A A A A B R g l J q / 6 Z / S y 5 h B 6 R K r x z O U A A A A O P S / W i X K d e k J U m D U T A i + k t 4 i d d g P 5 g E L A Y K R x F X N h m Y 1 Y c a j i X v z g p g u 7 s K A T Q 8 i E c O R i h L d d M h v e k U r F d g u / q z m A O n v u T X 1 D S b K c i S p U R B F A A A A H B i o q h s U 0 L F O T 5 a / y u N x J 1 g U P t E < / D a t a M a s h u p > 
</file>

<file path=customXml/itemProps1.xml><?xml version="1.0" encoding="utf-8"?>
<ds:datastoreItem xmlns:ds="http://schemas.openxmlformats.org/officeDocument/2006/customXml" ds:itemID="{2BF17F87-58CC-4074-A2AE-C97725B188E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Overview</vt:lpstr>
      <vt:lpstr>PR1-Lighting</vt:lpstr>
      <vt:lpstr>PR2-Space HVAC</vt:lpstr>
      <vt:lpstr>PR3-Process Heating &amp; Cooling</vt:lpstr>
      <vt:lpstr>PR4-BE</vt:lpstr>
      <vt:lpstr>PR5-Equip</vt:lpstr>
      <vt:lpstr>PR6-Renewable</vt:lpstr>
      <vt:lpstr>PR7-Water</vt:lpstr>
      <vt:lpstr>Data Base</vt:lpstr>
      <vt:lpstr>Overview!_Toc110343356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Dammika Weerakkody</dc:creator>
  <cp:lastModifiedBy>Bridget Heading</cp:lastModifiedBy>
  <dcterms:created xsi:type="dcterms:W3CDTF">2015-06-05T18:17:20Z</dcterms:created>
  <dcterms:modified xsi:type="dcterms:W3CDTF">2025-03-17T03:57:47Z</dcterms:modified>
</cp:coreProperties>
</file>